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tionalgridplc-my.sharepoint.com/personal/ben_cattermole_uk_nationalgrid_com/Documents/Transport/LEVI/"/>
    </mc:Choice>
  </mc:AlternateContent>
  <xr:revisionPtr revIDLastSave="0" documentId="8_{14D2C2E0-453F-418A-869C-43EA52AF900F}" xr6:coauthVersionLast="47" xr6:coauthVersionMax="47" xr10:uidLastSave="{00000000-0000-0000-0000-000000000000}"/>
  <bookViews>
    <workbookView xWindow="28680" yWindow="-120" windowWidth="29040" windowHeight="15840" tabRatio="486" xr2:uid="{F88A65A5-30ED-4B11-8CCF-9EDBB8EBCA92}"/>
  </bookViews>
  <sheets>
    <sheet name="Summary" sheetId="3" r:id="rId1"/>
    <sheet name="Caveats" sheetId="6" r:id="rId2"/>
    <sheet name="The Data (Coventry, NGED dig)" sheetId="9" r:id="rId3"/>
    <sheet name="The Data (Coventry, excl. dig)" sheetId="1" r:id="rId4"/>
    <sheet name="The Data (Wales, NGED dig)" sheetId="10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2" i="10" l="1"/>
  <c r="I102" i="10" s="1"/>
  <c r="L102" i="10" s="1"/>
  <c r="I101" i="10"/>
  <c r="L101" i="10" s="1"/>
  <c r="J100" i="10"/>
  <c r="I100" i="10" s="1"/>
  <c r="L100" i="10" s="1"/>
  <c r="J99" i="10"/>
  <c r="I99" i="10" s="1"/>
  <c r="L99" i="10" s="1"/>
  <c r="J98" i="10"/>
  <c r="I98" i="10" s="1"/>
  <c r="L98" i="10" s="1"/>
  <c r="I97" i="10"/>
  <c r="L97" i="10" s="1"/>
  <c r="J96" i="10"/>
  <c r="I96" i="10" s="1"/>
  <c r="L96" i="10" s="1"/>
  <c r="J95" i="10"/>
  <c r="I95" i="10" s="1"/>
  <c r="L95" i="10" s="1"/>
  <c r="I94" i="10"/>
  <c r="L94" i="10" s="1"/>
  <c r="J93" i="10"/>
  <c r="I93" i="10" s="1"/>
  <c r="L93" i="10" s="1"/>
  <c r="J92" i="10"/>
  <c r="I92" i="10" s="1"/>
  <c r="L92" i="10" s="1"/>
  <c r="I91" i="10"/>
  <c r="L91" i="10" s="1"/>
  <c r="J90" i="10"/>
  <c r="I90" i="10" s="1"/>
  <c r="L90" i="10" s="1"/>
  <c r="I89" i="10"/>
  <c r="L89" i="10" s="1"/>
  <c r="J88" i="10"/>
  <c r="I88" i="10" s="1"/>
  <c r="L88" i="10" s="1"/>
  <c r="J87" i="10"/>
  <c r="I87" i="10" s="1"/>
  <c r="L87" i="10" s="1"/>
  <c r="J86" i="10"/>
  <c r="I86" i="10" s="1"/>
  <c r="L86" i="10" s="1"/>
  <c r="J85" i="10"/>
  <c r="I85" i="10" s="1"/>
  <c r="L85" i="10" s="1"/>
  <c r="J84" i="10"/>
  <c r="I84" i="10" s="1"/>
  <c r="L84" i="10" s="1"/>
  <c r="I83" i="10"/>
  <c r="L83" i="10" s="1"/>
  <c r="I82" i="10"/>
  <c r="L82" i="10" s="1"/>
  <c r="J81" i="10"/>
  <c r="I81" i="10" s="1"/>
  <c r="L81" i="10" s="1"/>
  <c r="J80" i="10"/>
  <c r="I80" i="10" s="1"/>
  <c r="L80" i="10" s="1"/>
  <c r="K79" i="10"/>
  <c r="J79" i="10"/>
  <c r="I79" i="10" s="1"/>
  <c r="L79" i="10" s="1"/>
  <c r="J78" i="10"/>
  <c r="I78" i="10" s="1"/>
  <c r="L78" i="10" s="1"/>
  <c r="J77" i="10"/>
  <c r="I77" i="10" s="1"/>
  <c r="L77" i="10" s="1"/>
  <c r="J76" i="10"/>
  <c r="I76" i="10" s="1"/>
  <c r="L76" i="10" s="1"/>
  <c r="J75" i="10"/>
  <c r="I75" i="10" s="1"/>
  <c r="L75" i="10" s="1"/>
  <c r="J74" i="10"/>
  <c r="I74" i="10" s="1"/>
  <c r="L74" i="10" s="1"/>
  <c r="J73" i="10"/>
  <c r="I73" i="10" s="1"/>
  <c r="L73" i="10" s="1"/>
  <c r="J72" i="10"/>
  <c r="I72" i="10" s="1"/>
  <c r="L72" i="10" s="1"/>
  <c r="J71" i="10"/>
  <c r="I71" i="10" s="1"/>
  <c r="L71" i="10" s="1"/>
  <c r="J70" i="10"/>
  <c r="I70" i="10" s="1"/>
  <c r="L70" i="10" s="1"/>
  <c r="J69" i="10"/>
  <c r="I69" i="10" s="1"/>
  <c r="L69" i="10" s="1"/>
  <c r="I68" i="10"/>
  <c r="L68" i="10" s="1"/>
  <c r="J67" i="10"/>
  <c r="I67" i="10" s="1"/>
  <c r="L67" i="10" s="1"/>
  <c r="J66" i="10"/>
  <c r="I66" i="10" s="1"/>
  <c r="L66" i="10" s="1"/>
  <c r="J65" i="10"/>
  <c r="I65" i="10" s="1"/>
  <c r="L65" i="10" s="1"/>
  <c r="J64" i="10"/>
  <c r="I64" i="10" s="1"/>
  <c r="L64" i="10" s="1"/>
  <c r="J63" i="10"/>
  <c r="I63" i="10" s="1"/>
  <c r="L63" i="10" s="1"/>
  <c r="J62" i="10"/>
  <c r="I62" i="10" s="1"/>
  <c r="L62" i="10" s="1"/>
  <c r="J61" i="10"/>
  <c r="I61" i="10" s="1"/>
  <c r="L61" i="10" s="1"/>
  <c r="J60" i="10"/>
  <c r="I60" i="10" s="1"/>
  <c r="L60" i="10" s="1"/>
  <c r="J59" i="10"/>
  <c r="I59" i="10" s="1"/>
  <c r="L59" i="10" s="1"/>
  <c r="J58" i="10"/>
  <c r="I58" i="10" s="1"/>
  <c r="L58" i="10" s="1"/>
  <c r="I57" i="10"/>
  <c r="L57" i="10" s="1"/>
  <c r="I56" i="10"/>
  <c r="L56" i="10" s="1"/>
  <c r="J55" i="10"/>
  <c r="I55" i="10" s="1"/>
  <c r="L55" i="10" s="1"/>
  <c r="J54" i="10"/>
  <c r="I54" i="10" s="1"/>
  <c r="L54" i="10" s="1"/>
  <c r="J53" i="10"/>
  <c r="I53" i="10" s="1"/>
  <c r="L53" i="10" s="1"/>
  <c r="J52" i="10"/>
  <c r="I52" i="10" s="1"/>
  <c r="L52" i="10" s="1"/>
  <c r="J51" i="10"/>
  <c r="I51" i="10" s="1"/>
  <c r="L51" i="10" s="1"/>
  <c r="J50" i="10"/>
  <c r="I50" i="10" s="1"/>
  <c r="L50" i="10" s="1"/>
  <c r="J49" i="10"/>
  <c r="I49" i="10" s="1"/>
  <c r="L49" i="10" s="1"/>
  <c r="J48" i="10"/>
  <c r="I48" i="10" s="1"/>
  <c r="L48" i="10" s="1"/>
  <c r="J47" i="10"/>
  <c r="I47" i="10" s="1"/>
  <c r="L47" i="10" s="1"/>
  <c r="J46" i="10"/>
  <c r="I46" i="10" s="1"/>
  <c r="L46" i="10" s="1"/>
  <c r="J45" i="10"/>
  <c r="I45" i="10" s="1"/>
  <c r="L45" i="10" s="1"/>
  <c r="J44" i="10"/>
  <c r="I44" i="10" s="1"/>
  <c r="L44" i="10" s="1"/>
  <c r="J43" i="10"/>
  <c r="I43" i="10" s="1"/>
  <c r="L43" i="10" s="1"/>
  <c r="J42" i="10"/>
  <c r="I42" i="10" s="1"/>
  <c r="L42" i="10" s="1"/>
  <c r="J41" i="10"/>
  <c r="I41" i="10" s="1"/>
  <c r="L41" i="10" s="1"/>
  <c r="J40" i="10"/>
  <c r="I40" i="10" s="1"/>
  <c r="L40" i="10" s="1"/>
  <c r="J39" i="10"/>
  <c r="I39" i="10" s="1"/>
  <c r="L39" i="10" s="1"/>
  <c r="J38" i="10"/>
  <c r="I38" i="10" s="1"/>
  <c r="L38" i="10" s="1"/>
  <c r="J37" i="10"/>
  <c r="I37" i="10" s="1"/>
  <c r="L37" i="10" s="1"/>
  <c r="J36" i="10"/>
  <c r="I36" i="10" s="1"/>
  <c r="L36" i="10" s="1"/>
  <c r="J35" i="10"/>
  <c r="I35" i="10" s="1"/>
  <c r="L35" i="10" s="1"/>
  <c r="I34" i="10"/>
  <c r="L34" i="10" s="1"/>
  <c r="J33" i="10"/>
  <c r="I33" i="10" s="1"/>
  <c r="L33" i="10" s="1"/>
  <c r="J32" i="10"/>
  <c r="I32" i="10" s="1"/>
  <c r="L32" i="10" s="1"/>
  <c r="J31" i="10"/>
  <c r="I31" i="10" s="1"/>
  <c r="L31" i="10" s="1"/>
  <c r="J30" i="10"/>
  <c r="I30" i="10" s="1"/>
  <c r="L30" i="10" s="1"/>
  <c r="I29" i="10"/>
  <c r="L29" i="10" s="1"/>
  <c r="J28" i="10"/>
  <c r="I28" i="10" s="1"/>
  <c r="L28" i="10" s="1"/>
  <c r="J27" i="10"/>
  <c r="I27" i="10" s="1"/>
  <c r="L27" i="10" s="1"/>
  <c r="J26" i="10"/>
  <c r="I26" i="10"/>
  <c r="L26" i="10" s="1"/>
  <c r="J25" i="10"/>
  <c r="I25" i="10" s="1"/>
  <c r="L25" i="10" s="1"/>
  <c r="J24" i="10"/>
  <c r="I24" i="10" s="1"/>
  <c r="L24" i="10" s="1"/>
  <c r="J23" i="10"/>
  <c r="I23" i="10" s="1"/>
  <c r="L23" i="10" s="1"/>
  <c r="J22" i="10"/>
  <c r="I22" i="10" s="1"/>
  <c r="L22" i="10" s="1"/>
  <c r="I21" i="10"/>
  <c r="L21" i="10" s="1"/>
  <c r="I20" i="10"/>
  <c r="L20" i="10" s="1"/>
  <c r="J19" i="10"/>
  <c r="I19" i="10" s="1"/>
  <c r="L19" i="10" s="1"/>
  <c r="J18" i="10"/>
  <c r="I18" i="10" s="1"/>
  <c r="L18" i="10" s="1"/>
  <c r="J17" i="10"/>
  <c r="I17" i="10" s="1"/>
  <c r="L17" i="10" s="1"/>
  <c r="J16" i="10"/>
  <c r="I16" i="10" s="1"/>
  <c r="L16" i="10" s="1"/>
  <c r="I15" i="10"/>
  <c r="L15" i="10" s="1"/>
  <c r="J14" i="10"/>
  <c r="I14" i="10" s="1"/>
  <c r="L14" i="10" s="1"/>
  <c r="J13" i="10"/>
  <c r="I13" i="10" s="1"/>
  <c r="L13" i="10" s="1"/>
  <c r="J12" i="10"/>
  <c r="I12" i="10" s="1"/>
  <c r="L12" i="10" s="1"/>
  <c r="J11" i="10"/>
  <c r="I11" i="10" s="1"/>
  <c r="L11" i="10" s="1"/>
  <c r="I10" i="10"/>
  <c r="L10" i="10" s="1"/>
  <c r="J9" i="10"/>
  <c r="I9" i="10" s="1"/>
  <c r="L9" i="10" s="1"/>
  <c r="J8" i="10"/>
  <c r="I8" i="10" s="1"/>
  <c r="L8" i="10" s="1"/>
  <c r="I7" i="10"/>
  <c r="L7" i="10" s="1"/>
  <c r="I6" i="10"/>
  <c r="L6" i="10" s="1"/>
  <c r="J5" i="10"/>
  <c r="I5" i="10" s="1"/>
  <c r="L5" i="10" s="1"/>
  <c r="J4" i="10"/>
  <c r="I4" i="10" s="1"/>
  <c r="L4" i="10" s="1"/>
  <c r="J3" i="10"/>
  <c r="I3" i="10" s="1"/>
  <c r="L3" i="10" s="1"/>
  <c r="J2" i="10"/>
  <c r="I2" i="10" s="1"/>
  <c r="L2" i="10" s="1"/>
  <c r="B5" i="3" l="1"/>
  <c r="K25" i="9"/>
  <c r="K27" i="9"/>
  <c r="O27" i="9" s="1"/>
  <c r="F27" i="9"/>
  <c r="E27" i="9" s="1"/>
  <c r="K26" i="9"/>
  <c r="E26" i="9"/>
  <c r="F25" i="9"/>
  <c r="E25" i="9" s="1"/>
  <c r="K24" i="9"/>
  <c r="O24" i="9" s="1"/>
  <c r="E24" i="9"/>
  <c r="K23" i="9"/>
  <c r="O23" i="9" s="1"/>
  <c r="E23" i="9"/>
  <c r="K22" i="9"/>
  <c r="F22" i="9"/>
  <c r="E22" i="9" s="1"/>
  <c r="K21" i="9"/>
  <c r="O21" i="9" s="1"/>
  <c r="E21" i="9"/>
  <c r="K20" i="9"/>
  <c r="O20" i="9" s="1"/>
  <c r="E20" i="9"/>
  <c r="K19" i="9"/>
  <c r="O19" i="9" s="1"/>
  <c r="E19" i="9"/>
  <c r="N19" i="9" s="1"/>
  <c r="K18" i="9"/>
  <c r="O18" i="9" s="1"/>
  <c r="E18" i="9"/>
  <c r="K17" i="9"/>
  <c r="E17" i="9"/>
  <c r="K16" i="9"/>
  <c r="O16" i="9" s="1"/>
  <c r="F16" i="9"/>
  <c r="E16" i="9"/>
  <c r="K15" i="9"/>
  <c r="E15" i="9"/>
  <c r="K14" i="9"/>
  <c r="O14" i="9" s="1"/>
  <c r="E14" i="9"/>
  <c r="K13" i="9"/>
  <c r="E13" i="9"/>
  <c r="K12" i="9"/>
  <c r="O12" i="9" s="1"/>
  <c r="F12" i="9"/>
  <c r="E12" i="9" s="1"/>
  <c r="K11" i="9"/>
  <c r="O11" i="9" s="1"/>
  <c r="F11" i="9"/>
  <c r="E11" i="9" s="1"/>
  <c r="K10" i="9"/>
  <c r="E10" i="9"/>
  <c r="D10" i="9"/>
  <c r="K9" i="9"/>
  <c r="O9" i="9" s="1"/>
  <c r="E9" i="9"/>
  <c r="K8" i="9"/>
  <c r="O8" i="9" s="1"/>
  <c r="F8" i="9"/>
  <c r="E8" i="9" s="1"/>
  <c r="K7" i="9"/>
  <c r="O7" i="9" s="1"/>
  <c r="K6" i="9"/>
  <c r="O6" i="9" s="1"/>
  <c r="E6" i="9"/>
  <c r="K5" i="9"/>
  <c r="O5" i="9" s="1"/>
  <c r="F5" i="9"/>
  <c r="E5" i="9" s="1"/>
  <c r="K4" i="9"/>
  <c r="O4" i="9" s="1"/>
  <c r="F4" i="9"/>
  <c r="E4" i="9" s="1"/>
  <c r="K3" i="9"/>
  <c r="O3" i="9" s="1"/>
  <c r="F3" i="9"/>
  <c r="E3" i="9" s="1"/>
  <c r="K2" i="9"/>
  <c r="F2" i="9"/>
  <c r="E2" i="9"/>
  <c r="N2" i="9" l="1"/>
  <c r="N27" i="9"/>
  <c r="N26" i="9"/>
  <c r="B3" i="3"/>
  <c r="O10" i="9"/>
  <c r="O26" i="9"/>
  <c r="N11" i="9"/>
  <c r="N13" i="9"/>
  <c r="N25" i="9"/>
  <c r="N15" i="9"/>
  <c r="O15" i="9"/>
  <c r="N22" i="9"/>
  <c r="N17" i="9"/>
  <c r="N4" i="9"/>
  <c r="O22" i="9"/>
  <c r="N23" i="9"/>
  <c r="N5" i="9"/>
  <c r="N12" i="9"/>
  <c r="N9" i="9"/>
  <c r="N16" i="9"/>
  <c r="N20" i="9"/>
  <c r="N24" i="9"/>
  <c r="O2" i="9"/>
  <c r="N6" i="9"/>
  <c r="O13" i="9"/>
  <c r="N10" i="9"/>
  <c r="O17" i="9"/>
  <c r="N3" i="9"/>
  <c r="N7" i="9"/>
  <c r="N14" i="9"/>
  <c r="O25" i="9"/>
  <c r="N18" i="9"/>
  <c r="N8" i="9"/>
  <c r="N21" i="9"/>
  <c r="K19" i="1"/>
  <c r="O19" i="1" s="1"/>
  <c r="K20" i="1"/>
  <c r="O20" i="1" s="1"/>
  <c r="K21" i="1"/>
  <c r="O21" i="1" s="1"/>
  <c r="K22" i="1"/>
  <c r="O22" i="1" s="1"/>
  <c r="K23" i="1"/>
  <c r="O23" i="1" s="1"/>
  <c r="K24" i="1"/>
  <c r="O24" i="1" s="1"/>
  <c r="K25" i="1"/>
  <c r="O25" i="1" s="1"/>
  <c r="K18" i="1"/>
  <c r="O18" i="1" s="1"/>
  <c r="K17" i="1"/>
  <c r="O17" i="1" s="1"/>
  <c r="K12" i="1"/>
  <c r="O12" i="1" s="1"/>
  <c r="K13" i="1"/>
  <c r="K14" i="1"/>
  <c r="O14" i="1" s="1"/>
  <c r="K15" i="1"/>
  <c r="O15" i="1" s="1"/>
  <c r="K16" i="1"/>
  <c r="O16" i="1" s="1"/>
  <c r="K11" i="1"/>
  <c r="O11" i="1" s="1"/>
  <c r="K10" i="1"/>
  <c r="O10" i="1" s="1"/>
  <c r="K9" i="1"/>
  <c r="O9" i="1" s="1"/>
  <c r="K8" i="1"/>
  <c r="O8" i="1" s="1"/>
  <c r="K4" i="1"/>
  <c r="O4" i="1" s="1"/>
  <c r="K5" i="1"/>
  <c r="O5" i="1" s="1"/>
  <c r="K6" i="1"/>
  <c r="O6" i="1" s="1"/>
  <c r="K7" i="1"/>
  <c r="O7" i="1" s="1"/>
  <c r="K3" i="1"/>
  <c r="K2" i="1"/>
  <c r="F24" i="1"/>
  <c r="E24" i="1" s="1"/>
  <c r="F23" i="1"/>
  <c r="E23" i="1" s="1"/>
  <c r="F22" i="1"/>
  <c r="E22" i="1" s="1"/>
  <c r="F21" i="1"/>
  <c r="E21" i="1" s="1"/>
  <c r="F20" i="1"/>
  <c r="E20" i="1" s="1"/>
  <c r="F19" i="1"/>
  <c r="E19" i="1" s="1"/>
  <c r="F17" i="1"/>
  <c r="E17" i="1" s="1"/>
  <c r="F18" i="1"/>
  <c r="E18" i="1" s="1"/>
  <c r="F25" i="1"/>
  <c r="E25" i="1" s="1"/>
  <c r="N25" i="1" s="1"/>
  <c r="F13" i="1"/>
  <c r="E13" i="1" s="1"/>
  <c r="F15" i="1"/>
  <c r="F14" i="1"/>
  <c r="E14" i="1" s="1"/>
  <c r="F12" i="1"/>
  <c r="E12" i="1" s="1"/>
  <c r="F11" i="1"/>
  <c r="E11" i="1" s="1"/>
  <c r="F16" i="1"/>
  <c r="E16" i="1" s="1"/>
  <c r="F7" i="1"/>
  <c r="F9" i="1"/>
  <c r="E9" i="1" s="1"/>
  <c r="F6" i="1"/>
  <c r="F5" i="1"/>
  <c r="F8" i="1"/>
  <c r="E8" i="1" s="1"/>
  <c r="F4" i="1"/>
  <c r="E4" i="1" s="1"/>
  <c r="F3" i="1"/>
  <c r="E3" i="1" s="1"/>
  <c r="F2" i="1"/>
  <c r="F10" i="1"/>
  <c r="N22" i="1" l="1"/>
  <c r="N4" i="1"/>
  <c r="N21" i="1"/>
  <c r="N14" i="1"/>
  <c r="N24" i="1"/>
  <c r="N16" i="1"/>
  <c r="N13" i="1"/>
  <c r="N15" i="1"/>
  <c r="N23" i="1"/>
  <c r="N7" i="1"/>
  <c r="N18" i="1"/>
  <c r="N6" i="1"/>
  <c r="N3" i="1"/>
  <c r="N5" i="1"/>
  <c r="N12" i="1"/>
  <c r="O13" i="1"/>
  <c r="N11" i="1"/>
  <c r="N10" i="1"/>
  <c r="N9" i="1"/>
  <c r="N8" i="1"/>
  <c r="B4" i="3"/>
  <c r="N20" i="1"/>
  <c r="O2" i="1"/>
  <c r="N2" i="1"/>
  <c r="N19" i="1"/>
  <c r="N17" i="1"/>
  <c r="O3" i="1"/>
</calcChain>
</file>

<file path=xl/sharedStrings.xml><?xml version="1.0" encoding="utf-8"?>
<sst xmlns="http://schemas.openxmlformats.org/spreadsheetml/2006/main" count="505" uniqueCount="40">
  <si>
    <t>Cost per Connection (excl. VAT), inflation adjusted</t>
  </si>
  <si>
    <t>Mean</t>
  </si>
  <si>
    <t>Cost has been adjusted using CPI to September 2024 prices, it may be the case that NGED inflation has been different (above/below) from general price inflation.</t>
  </si>
  <si>
    <t>CPI INDEX 00: ALL ITEMS 2015=100 - Office for National Statistics (ons.gov.uk)</t>
  </si>
  <si>
    <t>Prices are only from Coventry - ORCS, and Wales</t>
  </si>
  <si>
    <t>Survivorship bias means expensive projects were unlikely to go ahead, so we only have prices on the projects which were cheap enough to happen</t>
  </si>
  <si>
    <t>Enquiry Ref</t>
  </si>
  <si>
    <t>ORCS Phase</t>
  </si>
  <si>
    <t>Date of Offer</t>
  </si>
  <si>
    <t>Number of Connections</t>
  </si>
  <si>
    <t>Number of Chargepoints</t>
  </si>
  <si>
    <t>kVA</t>
  </si>
  <si>
    <t>Number of phase</t>
  </si>
  <si>
    <t>Reconfiguration?</t>
  </si>
  <si>
    <t>Reinforcement?</t>
  </si>
  <si>
    <t>Cost CPI Adjusted to September 2024</t>
  </si>
  <si>
    <t>Cost</t>
  </si>
  <si>
    <t>Cost Non-contest only</t>
  </si>
  <si>
    <t>Cost per Chargepoint</t>
  </si>
  <si>
    <t>Cost per Connection</t>
  </si>
  <si>
    <t>Yes</t>
  </si>
  <si>
    <t>No</t>
  </si>
  <si>
    <t>Church Village</t>
  </si>
  <si>
    <t>East Monmouth</t>
  </si>
  <si>
    <t>Merthyr</t>
  </si>
  <si>
    <t>Gwent</t>
  </si>
  <si>
    <t>Cardiff Construction</t>
  </si>
  <si>
    <t>Swansea South East</t>
  </si>
  <si>
    <t>Newport</t>
  </si>
  <si>
    <t>West Gwent</t>
  </si>
  <si>
    <t>Swansea East</t>
  </si>
  <si>
    <t>Cost Non-contestible only</t>
  </si>
  <si>
    <t>Number of phases</t>
  </si>
  <si>
    <t>Coventry ORCS Phase 8: includes dig, batched applications</t>
  </si>
  <si>
    <t>Coventry ORCS Phase 3-7: excludes dig, batched applications</t>
  </si>
  <si>
    <t xml:space="preserve">Wales ORCS: includes dig, non-batched applications </t>
  </si>
  <si>
    <t>NGED did Dig?</t>
  </si>
  <si>
    <t>Original Cost</t>
  </si>
  <si>
    <t>Cost per Chargepoint CPI adjusted</t>
  </si>
  <si>
    <t>Costs are exclusive of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</si>
</sst>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166" formatCode="_-&quot;£&quot;* #,##0_-;\-&quot;£&quot;* #,##0_-;_-&quot;£&quot;* &quot;-&quot;??_-;_-@_-"/>
    <numFmt numFmtId="167" formatCode="&quot;£&quot;#,##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44" fontId="0" fillId="0" borderId="0" xfId="1" applyFont="1"/>
    <xf numFmtId="1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44" fontId="0" fillId="0" borderId="0" xfId="0" applyNumberFormat="1"/>
    <xf numFmtId="0" fontId="4" fillId="0" borderId="0" xfId="2"/>
    <xf numFmtId="1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/>
    <xf numFmtId="44" fontId="3" fillId="0" borderId="0" xfId="1" applyFont="1"/>
    <xf numFmtId="166" fontId="3" fillId="0" borderId="0" xfId="1" applyNumberFormat="1" applyFont="1"/>
    <xf numFmtId="166" fontId="0" fillId="0" borderId="0" xfId="1" applyNumberFormat="1" applyFont="1"/>
    <xf numFmtId="44" fontId="0" fillId="0" borderId="0" xfId="1" applyFont="1" applyAlignment="1">
      <alignment horizontal="center"/>
    </xf>
    <xf numFmtId="167" fontId="3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5" fontId="3" fillId="0" borderId="0" xfId="1" applyNumberFormat="1" applyFont="1" applyAlignment="1">
      <alignment horizontal="center"/>
    </xf>
    <xf numFmtId="5" fontId="0" fillId="0" borderId="0" xfId="1" applyNumberFormat="1" applyFont="1" applyAlignment="1">
      <alignment horizontal="center"/>
    </xf>
    <xf numFmtId="0" fontId="5" fillId="2" borderId="1" xfId="0" applyFont="1" applyFill="1" applyBorder="1"/>
    <xf numFmtId="0" fontId="6" fillId="3" borderId="1" xfId="0" applyFont="1" applyFill="1" applyBorder="1"/>
    <xf numFmtId="166" fontId="6" fillId="3" borderId="1" xfId="0" applyNumberFormat="1" applyFont="1" applyFill="1" applyBorder="1" applyAlignment="1">
      <alignment horizontal="center"/>
    </xf>
    <xf numFmtId="166" fontId="5" fillId="4" borderId="1" xfId="0" applyNumberFormat="1" applyFont="1" applyFill="1" applyBorder="1"/>
    <xf numFmtId="166" fontId="3" fillId="0" borderId="0" xfId="0" applyNumberFormat="1" applyFont="1"/>
    <xf numFmtId="166" fontId="0" fillId="0" borderId="0" xfId="0" applyNumberFormat="1"/>
    <xf numFmtId="166" fontId="0" fillId="0" borderId="0" xfId="1" applyNumberFormat="1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ns.gov.uk/economy/inflationandpriceindices/timeseries/d7bt/mm2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4919B-E889-41FC-A3E7-92D39405B1F2}">
  <dimension ref="A2:B5"/>
  <sheetViews>
    <sheetView tabSelected="1" zoomScale="110" zoomScaleNormal="110" workbookViewId="0">
      <selection activeCell="A16" sqref="A16"/>
    </sheetView>
  </sheetViews>
  <sheetFormatPr defaultRowHeight="14.5" x14ac:dyDescent="0.35"/>
  <cols>
    <col min="1" max="1" width="69.81640625" bestFit="1" customWidth="1"/>
    <col min="2" max="2" width="14.453125" bestFit="1" customWidth="1"/>
    <col min="3" max="3" width="18.1796875" bestFit="1" customWidth="1"/>
  </cols>
  <sheetData>
    <row r="2" spans="1:2" ht="18.5" x14ac:dyDescent="0.45">
      <c r="A2" s="20" t="s">
        <v>0</v>
      </c>
      <c r="B2" s="22" t="s">
        <v>1</v>
      </c>
    </row>
    <row r="3" spans="1:2" ht="18.5" x14ac:dyDescent="0.45">
      <c r="A3" s="21" t="s">
        <v>33</v>
      </c>
      <c r="B3" s="23">
        <f>SUM('The Data (Coventry, NGED dig)'!K2:K27)/SUM('The Data (Coventry, NGED dig)'!D2:D27)</f>
        <v>4662.4690790561863</v>
      </c>
    </row>
    <row r="4" spans="1:2" ht="18.5" x14ac:dyDescent="0.45">
      <c r="A4" s="21" t="s">
        <v>34</v>
      </c>
      <c r="B4" s="23">
        <f>SUM('The Data (Coventry, excl. dig)'!K2:K25)/SUM('The Data (Coventry, excl. dig)'!D2:D25)</f>
        <v>1505.6081967943242</v>
      </c>
    </row>
    <row r="5" spans="1:2" ht="18.5" x14ac:dyDescent="0.45">
      <c r="A5" s="21" t="s">
        <v>35</v>
      </c>
      <c r="B5" s="23">
        <f>SUM('The Data (Wales, NGED dig)'!I2:I102)/SUM('The Data (Wales, NGED dig)'!D2:D102)</f>
        <v>8845.0792234166329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BAB9F-E5DA-49B7-974F-44084B8A323E}">
  <dimension ref="A1:B4"/>
  <sheetViews>
    <sheetView workbookViewId="0">
      <selection activeCell="A2" sqref="A2"/>
    </sheetView>
  </sheetViews>
  <sheetFormatPr defaultRowHeight="14.5" x14ac:dyDescent="0.35"/>
  <cols>
    <col min="1" max="1" width="146.453125" customWidth="1"/>
    <col min="2" max="2" width="65.81640625" bestFit="1" customWidth="1"/>
  </cols>
  <sheetData>
    <row r="1" spans="1:2" x14ac:dyDescent="0.35">
      <c r="A1" t="s">
        <v>2</v>
      </c>
      <c r="B1" s="8" t="s">
        <v>3</v>
      </c>
    </row>
    <row r="2" spans="1:2" x14ac:dyDescent="0.35">
      <c r="A2" t="s">
        <v>4</v>
      </c>
    </row>
    <row r="3" spans="1:2" x14ac:dyDescent="0.35">
      <c r="A3" t="s">
        <v>5</v>
      </c>
    </row>
    <row r="4" spans="1:2" x14ac:dyDescent="0.35">
      <c r="A4" t="s">
        <v>39</v>
      </c>
    </row>
  </sheetData>
  <hyperlinks>
    <hyperlink ref="B1" r:id="rId1" display="https://www.ons.gov.uk/economy/inflationandpriceindices/timeseries/d7bt/mm23" xr:uid="{A70A8023-6274-4E29-BF49-B0CDB9C363D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00F4C-B062-4EDA-A7C8-0C43F7A7101E}">
  <dimension ref="A1:O28"/>
  <sheetViews>
    <sheetView topLeftCell="D1" zoomScaleNormal="100" workbookViewId="0">
      <selection activeCell="N1" sqref="N1"/>
    </sheetView>
  </sheetViews>
  <sheetFormatPr defaultColWidth="10.26953125" defaultRowHeight="14.5" x14ac:dyDescent="0.35"/>
  <cols>
    <col min="1" max="1" width="11.7265625" style="4" customWidth="1"/>
    <col min="2" max="2" width="20.7265625" bestFit="1" customWidth="1"/>
    <col min="3" max="3" width="13" style="4" bestFit="1" customWidth="1"/>
    <col min="4" max="4" width="23.54296875" bestFit="1" customWidth="1"/>
    <col min="5" max="5" width="21.26953125" customWidth="1"/>
    <col min="6" max="6" width="5.1796875" bestFit="1" customWidth="1"/>
    <col min="7" max="7" width="15.6328125" bestFit="1" customWidth="1"/>
    <col min="8" max="8" width="13.453125" bestFit="1" customWidth="1"/>
    <col min="9" max="9" width="17.7265625" bestFit="1" customWidth="1"/>
    <col min="10" max="10" width="16.453125" bestFit="1" customWidth="1"/>
    <col min="11" max="11" width="32.36328125" customWidth="1"/>
    <col min="12" max="12" width="14.26953125" style="2" bestFit="1" customWidth="1"/>
    <col min="13" max="13" width="24.54296875" style="2" bestFit="1" customWidth="1"/>
    <col min="14" max="14" width="23.26953125" style="2" bestFit="1" customWidth="1"/>
    <col min="15" max="15" width="22.7265625" style="2" bestFit="1" customWidth="1"/>
    <col min="16" max="16" width="31" customWidth="1"/>
  </cols>
  <sheetData>
    <row r="1" spans="1:15" s="11" customFormat="1" x14ac:dyDescent="0.35">
      <c r="A1" s="10" t="s">
        <v>6</v>
      </c>
      <c r="B1" s="10" t="s">
        <v>7</v>
      </c>
      <c r="C1" s="10" t="s">
        <v>8</v>
      </c>
      <c r="D1" s="11" t="s">
        <v>9</v>
      </c>
      <c r="E1" s="11" t="s">
        <v>10</v>
      </c>
      <c r="F1" s="11" t="s">
        <v>11</v>
      </c>
      <c r="G1" s="11" t="s">
        <v>12</v>
      </c>
      <c r="H1" s="11" t="s">
        <v>36</v>
      </c>
      <c r="I1" s="11" t="s">
        <v>13</v>
      </c>
      <c r="J1" s="11" t="s">
        <v>14</v>
      </c>
      <c r="K1" s="24" t="s">
        <v>15</v>
      </c>
      <c r="L1" s="13" t="s">
        <v>37</v>
      </c>
      <c r="M1" s="13" t="s">
        <v>17</v>
      </c>
      <c r="N1" s="12" t="s">
        <v>38</v>
      </c>
      <c r="O1" s="12" t="s">
        <v>19</v>
      </c>
    </row>
    <row r="2" spans="1:15" x14ac:dyDescent="0.35">
      <c r="A2" s="1">
        <v>4574090</v>
      </c>
      <c r="B2" s="1">
        <v>8</v>
      </c>
      <c r="C2" s="3">
        <v>44923</v>
      </c>
      <c r="D2" s="4">
        <v>3</v>
      </c>
      <c r="E2" s="4">
        <f>F2/7</f>
        <v>23</v>
      </c>
      <c r="F2">
        <f>28+21+112</f>
        <v>161</v>
      </c>
      <c r="G2" s="4"/>
      <c r="H2" s="4" t="s">
        <v>20</v>
      </c>
      <c r="I2" s="4" t="s">
        <v>21</v>
      </c>
      <c r="J2" s="4" t="s">
        <v>21</v>
      </c>
      <c r="K2" s="25">
        <f t="shared" ref="K2:K8" si="0">L2*134.2/127.2</f>
        <v>15244.328726415093</v>
      </c>
      <c r="L2" s="14">
        <v>14449.17</v>
      </c>
      <c r="M2" s="26">
        <v>794</v>
      </c>
      <c r="N2" s="15">
        <f>K2/E2</f>
        <v>662.79690114848233</v>
      </c>
      <c r="O2" s="15">
        <f t="shared" ref="O2:O15" si="1">K2/D2</f>
        <v>5081.442908805031</v>
      </c>
    </row>
    <row r="3" spans="1:15" x14ac:dyDescent="0.35">
      <c r="A3" s="1">
        <v>4574094</v>
      </c>
      <c r="B3" s="1">
        <v>8</v>
      </c>
      <c r="C3" s="3">
        <v>44923</v>
      </c>
      <c r="D3" s="4">
        <v>3</v>
      </c>
      <c r="E3" s="4">
        <f>F3/7</f>
        <v>11</v>
      </c>
      <c r="F3">
        <f>28*2+21</f>
        <v>77</v>
      </c>
      <c r="G3" s="4"/>
      <c r="H3" s="4" t="s">
        <v>20</v>
      </c>
      <c r="I3" s="4" t="s">
        <v>21</v>
      </c>
      <c r="J3" s="4" t="s">
        <v>21</v>
      </c>
      <c r="K3" s="25">
        <f t="shared" si="0"/>
        <v>6248.1705345911951</v>
      </c>
      <c r="L3" s="14">
        <v>5922.26</v>
      </c>
      <c r="M3" s="26">
        <v>587</v>
      </c>
      <c r="N3" s="15">
        <f t="shared" ref="N3:N14" si="2">K3/E3</f>
        <v>568.01550314465408</v>
      </c>
      <c r="O3" s="15">
        <f t="shared" si="1"/>
        <v>2082.7235115303984</v>
      </c>
    </row>
    <row r="4" spans="1:15" x14ac:dyDescent="0.35">
      <c r="A4" s="1">
        <v>4574110</v>
      </c>
      <c r="B4" s="1">
        <v>8</v>
      </c>
      <c r="C4" s="3">
        <v>44923</v>
      </c>
      <c r="D4" s="4">
        <v>4</v>
      </c>
      <c r="E4" s="4">
        <f>F4/7</f>
        <v>14</v>
      </c>
      <c r="F4">
        <f>28*2+21*2</f>
        <v>98</v>
      </c>
      <c r="G4" s="4">
        <v>1</v>
      </c>
      <c r="H4" s="4" t="s">
        <v>20</v>
      </c>
      <c r="I4" s="4" t="s">
        <v>21</v>
      </c>
      <c r="J4" s="4" t="s">
        <v>21</v>
      </c>
      <c r="K4" s="25">
        <f t="shared" si="0"/>
        <v>9351.6193867924503</v>
      </c>
      <c r="L4" s="14">
        <v>8863.83</v>
      </c>
      <c r="M4" s="26">
        <v>587</v>
      </c>
      <c r="N4" s="15">
        <f t="shared" si="2"/>
        <v>667.97281334231786</v>
      </c>
      <c r="O4" s="15">
        <f t="shared" si="1"/>
        <v>2337.9048466981126</v>
      </c>
    </row>
    <row r="5" spans="1:15" x14ac:dyDescent="0.35">
      <c r="A5" s="1">
        <v>4579891</v>
      </c>
      <c r="B5" s="1">
        <v>8</v>
      </c>
      <c r="C5" s="3">
        <v>44923</v>
      </c>
      <c r="D5" s="4">
        <v>4</v>
      </c>
      <c r="E5" s="4">
        <f>F5/7</f>
        <v>14</v>
      </c>
      <c r="F5">
        <f>2*28+2*21</f>
        <v>98</v>
      </c>
      <c r="G5" s="4"/>
      <c r="H5" s="4" t="s">
        <v>20</v>
      </c>
      <c r="I5" s="4" t="s">
        <v>21</v>
      </c>
      <c r="J5" s="4" t="s">
        <v>21</v>
      </c>
      <c r="K5" s="25">
        <f t="shared" si="0"/>
        <v>24968.21595911949</v>
      </c>
      <c r="L5" s="14">
        <v>23665.85</v>
      </c>
      <c r="M5" s="26">
        <v>587</v>
      </c>
      <c r="N5" s="15">
        <f t="shared" si="2"/>
        <v>1783.4439970799635</v>
      </c>
      <c r="O5" s="15">
        <f t="shared" si="1"/>
        <v>6242.0539897798726</v>
      </c>
    </row>
    <row r="6" spans="1:15" x14ac:dyDescent="0.35">
      <c r="A6" s="1">
        <v>4574061</v>
      </c>
      <c r="B6" s="1">
        <v>8</v>
      </c>
      <c r="C6" s="3">
        <v>44924</v>
      </c>
      <c r="D6" s="4">
        <v>11</v>
      </c>
      <c r="E6" s="4">
        <f>F6/7</f>
        <v>39</v>
      </c>
      <c r="F6">
        <v>273</v>
      </c>
      <c r="G6" s="4">
        <v>3</v>
      </c>
      <c r="H6" s="4" t="s">
        <v>20</v>
      </c>
      <c r="I6" s="4" t="s">
        <v>21</v>
      </c>
      <c r="J6" s="4" t="s">
        <v>21</v>
      </c>
      <c r="K6" s="25">
        <f t="shared" si="0"/>
        <v>26966.318915094336</v>
      </c>
      <c r="L6" s="14">
        <v>25559.73</v>
      </c>
      <c r="M6" s="26">
        <v>587</v>
      </c>
      <c r="N6" s="15">
        <f t="shared" si="2"/>
        <v>691.4440747460086</v>
      </c>
      <c r="O6" s="15">
        <f t="shared" si="1"/>
        <v>2451.4835377358486</v>
      </c>
    </row>
    <row r="7" spans="1:15" x14ac:dyDescent="0.35">
      <c r="A7" s="1">
        <v>4574088</v>
      </c>
      <c r="B7" s="1">
        <v>8</v>
      </c>
      <c r="C7" s="3">
        <v>44924</v>
      </c>
      <c r="D7" s="4">
        <v>2</v>
      </c>
      <c r="E7" s="4">
        <v>6</v>
      </c>
      <c r="F7">
        <v>42</v>
      </c>
      <c r="G7" s="4">
        <v>1</v>
      </c>
      <c r="H7" s="4" t="s">
        <v>20</v>
      </c>
      <c r="I7" s="4" t="s">
        <v>21</v>
      </c>
      <c r="J7" s="4" t="s">
        <v>21</v>
      </c>
      <c r="K7" s="25">
        <f t="shared" si="0"/>
        <v>47817.200801886793</v>
      </c>
      <c r="L7" s="14">
        <v>45323.01</v>
      </c>
      <c r="M7" s="26">
        <v>587</v>
      </c>
      <c r="N7" s="15">
        <f t="shared" si="2"/>
        <v>7969.5334669811318</v>
      </c>
      <c r="O7" s="15">
        <f t="shared" si="1"/>
        <v>23908.600400943396</v>
      </c>
    </row>
    <row r="8" spans="1:15" x14ac:dyDescent="0.35">
      <c r="A8" s="1">
        <v>4574103</v>
      </c>
      <c r="B8" s="1">
        <v>8</v>
      </c>
      <c r="C8" s="3">
        <v>44925</v>
      </c>
      <c r="D8" s="4">
        <v>5</v>
      </c>
      <c r="E8" s="4">
        <f>F8/7</f>
        <v>21</v>
      </c>
      <c r="F8">
        <f>21+3*28+42</f>
        <v>147</v>
      </c>
      <c r="G8" s="4">
        <v>3</v>
      </c>
      <c r="H8" s="4" t="s">
        <v>20</v>
      </c>
      <c r="I8" s="4" t="s">
        <v>21</v>
      </c>
      <c r="J8" s="4" t="s">
        <v>21</v>
      </c>
      <c r="K8" s="25">
        <f t="shared" si="0"/>
        <v>16495.437767295596</v>
      </c>
      <c r="L8" s="14">
        <v>15635.02</v>
      </c>
      <c r="M8" s="26">
        <v>587</v>
      </c>
      <c r="N8" s="15">
        <f t="shared" si="2"/>
        <v>785.49703653788549</v>
      </c>
      <c r="O8" s="15">
        <f t="shared" si="1"/>
        <v>3299.0875534591191</v>
      </c>
    </row>
    <row r="9" spans="1:15" x14ac:dyDescent="0.35">
      <c r="A9" s="1">
        <v>4533187</v>
      </c>
      <c r="B9" s="1">
        <v>8</v>
      </c>
      <c r="C9" s="3">
        <v>44929</v>
      </c>
      <c r="D9" s="4">
        <v>14</v>
      </c>
      <c r="E9" s="4">
        <f>539/7</f>
        <v>77</v>
      </c>
      <c r="F9">
        <v>539</v>
      </c>
      <c r="G9" s="4"/>
      <c r="H9" s="4" t="s">
        <v>20</v>
      </c>
      <c r="I9" s="4" t="s">
        <v>20</v>
      </c>
      <c r="J9" s="4" t="s">
        <v>21</v>
      </c>
      <c r="K9" s="25">
        <f t="shared" ref="K9:K24" si="3">L9*134.2/126.4</f>
        <v>86753.122848101251</v>
      </c>
      <c r="L9" s="14">
        <v>81710.84</v>
      </c>
      <c r="M9" s="26">
        <v>33964.86</v>
      </c>
      <c r="N9" s="15">
        <f t="shared" si="2"/>
        <v>1126.6639330922239</v>
      </c>
      <c r="O9" s="15">
        <f t="shared" si="1"/>
        <v>6196.6516320072324</v>
      </c>
    </row>
    <row r="10" spans="1:15" x14ac:dyDescent="0.35">
      <c r="A10" s="1">
        <v>4533460</v>
      </c>
      <c r="B10" s="1">
        <v>8</v>
      </c>
      <c r="C10" s="3">
        <v>44929</v>
      </c>
      <c r="D10" s="4">
        <f>2+2+1+2</f>
        <v>7</v>
      </c>
      <c r="E10" s="4">
        <f>12+8+7+12</f>
        <v>39</v>
      </c>
      <c r="F10">
        <v>273</v>
      </c>
      <c r="G10" s="4">
        <v>3</v>
      </c>
      <c r="H10" s="4" t="s">
        <v>20</v>
      </c>
      <c r="I10" s="4" t="s">
        <v>20</v>
      </c>
      <c r="J10" s="4" t="s">
        <v>21</v>
      </c>
      <c r="K10" s="25">
        <f t="shared" si="3"/>
        <v>96639.224905063282</v>
      </c>
      <c r="L10" s="14">
        <v>91022.34</v>
      </c>
      <c r="M10" s="26">
        <v>25366.76</v>
      </c>
      <c r="N10" s="15">
        <f t="shared" si="2"/>
        <v>2477.9288437195714</v>
      </c>
      <c r="O10" s="15">
        <f t="shared" si="1"/>
        <v>13805.603557866183</v>
      </c>
    </row>
    <row r="11" spans="1:15" x14ac:dyDescent="0.35">
      <c r="A11" s="1">
        <v>4533267</v>
      </c>
      <c r="B11" s="1">
        <v>8</v>
      </c>
      <c r="C11" s="3">
        <v>44930</v>
      </c>
      <c r="D11" s="4">
        <v>11</v>
      </c>
      <c r="E11" s="4">
        <f t="shared" ref="E11:E25" si="4">F11/7</f>
        <v>50</v>
      </c>
      <c r="F11">
        <f>4*7+9*7+8*7+4*7+6*7+14*7+5*7</f>
        <v>350</v>
      </c>
      <c r="G11" s="4">
        <v>3</v>
      </c>
      <c r="H11" s="4" t="s">
        <v>20</v>
      </c>
      <c r="I11" s="4" t="s">
        <v>21</v>
      </c>
      <c r="J11" s="4" t="s">
        <v>21</v>
      </c>
      <c r="K11" s="25">
        <f t="shared" si="3"/>
        <v>45219.305791139232</v>
      </c>
      <c r="L11" s="14">
        <v>42591.06</v>
      </c>
      <c r="M11" s="26">
        <v>967</v>
      </c>
      <c r="N11" s="15">
        <f t="shared" si="2"/>
        <v>904.38611582278463</v>
      </c>
      <c r="O11" s="15">
        <f t="shared" si="1"/>
        <v>4110.8459810126578</v>
      </c>
    </row>
    <row r="12" spans="1:15" x14ac:dyDescent="0.35">
      <c r="A12" s="1">
        <v>4574128</v>
      </c>
      <c r="B12" s="1">
        <v>8</v>
      </c>
      <c r="C12" s="3">
        <v>44935</v>
      </c>
      <c r="D12" s="4">
        <v>6</v>
      </c>
      <c r="E12" s="4">
        <f t="shared" si="4"/>
        <v>32</v>
      </c>
      <c r="F12">
        <f>56+2*42+3*28</f>
        <v>224</v>
      </c>
      <c r="G12" s="4">
        <v>3</v>
      </c>
      <c r="H12" s="4" t="s">
        <v>20</v>
      </c>
      <c r="I12" s="4" t="s">
        <v>21</v>
      </c>
      <c r="J12" s="4" t="s">
        <v>21</v>
      </c>
      <c r="K12" s="25">
        <f t="shared" si="3"/>
        <v>20235.279050632911</v>
      </c>
      <c r="L12" s="14">
        <v>19059.16</v>
      </c>
      <c r="M12" s="26">
        <v>794</v>
      </c>
      <c r="N12" s="15">
        <f t="shared" si="2"/>
        <v>632.35247033227847</v>
      </c>
      <c r="O12" s="15">
        <f t="shared" si="1"/>
        <v>3372.5465084388184</v>
      </c>
    </row>
    <row r="13" spans="1:15" x14ac:dyDescent="0.35">
      <c r="A13" s="1">
        <v>4574122</v>
      </c>
      <c r="B13" s="1">
        <v>8</v>
      </c>
      <c r="C13" s="3">
        <v>44937</v>
      </c>
      <c r="D13" s="4">
        <v>2</v>
      </c>
      <c r="E13" s="4">
        <f t="shared" si="4"/>
        <v>6</v>
      </c>
      <c r="F13">
        <v>42</v>
      </c>
      <c r="G13" s="4">
        <v>3</v>
      </c>
      <c r="H13" s="4" t="s">
        <v>20</v>
      </c>
      <c r="I13" s="4" t="s">
        <v>21</v>
      </c>
      <c r="J13" s="4" t="s">
        <v>21</v>
      </c>
      <c r="K13" s="25">
        <f t="shared" si="3"/>
        <v>10198.71161392405</v>
      </c>
      <c r="L13" s="14">
        <v>9605.94</v>
      </c>
      <c r="M13" s="26">
        <v>587</v>
      </c>
      <c r="N13" s="15">
        <f t="shared" si="2"/>
        <v>1699.7852689873416</v>
      </c>
      <c r="O13" s="15">
        <f t="shared" si="1"/>
        <v>5099.3558069620249</v>
      </c>
    </row>
    <row r="14" spans="1:15" x14ac:dyDescent="0.35">
      <c r="A14" s="1">
        <v>4533346</v>
      </c>
      <c r="B14" s="1">
        <v>8</v>
      </c>
      <c r="C14" s="3">
        <v>44938</v>
      </c>
      <c r="D14" s="4">
        <v>9</v>
      </c>
      <c r="E14" s="4">
        <f t="shared" si="4"/>
        <v>49</v>
      </c>
      <c r="F14">
        <v>343</v>
      </c>
      <c r="G14" s="4"/>
      <c r="H14" s="4" t="s">
        <v>20</v>
      </c>
      <c r="I14" s="4" t="s">
        <v>21</v>
      </c>
      <c r="J14" s="4" t="s">
        <v>21</v>
      </c>
      <c r="K14" s="25">
        <f t="shared" si="3"/>
        <v>22325.263560126576</v>
      </c>
      <c r="L14" s="14">
        <v>21027.67</v>
      </c>
      <c r="M14" s="26">
        <v>967</v>
      </c>
      <c r="N14" s="15">
        <f t="shared" si="2"/>
        <v>455.61762367605257</v>
      </c>
      <c r="O14" s="15">
        <f t="shared" si="1"/>
        <v>2480.584840014064</v>
      </c>
    </row>
    <row r="15" spans="1:15" x14ac:dyDescent="0.35">
      <c r="A15" s="1">
        <v>4574130</v>
      </c>
      <c r="B15" s="1">
        <v>8</v>
      </c>
      <c r="C15" s="3">
        <v>44939</v>
      </c>
      <c r="D15" s="4">
        <v>9</v>
      </c>
      <c r="E15" s="4">
        <f t="shared" si="4"/>
        <v>35</v>
      </c>
      <c r="F15">
        <v>245</v>
      </c>
      <c r="G15" s="4">
        <v>3</v>
      </c>
      <c r="H15" s="4" t="s">
        <v>20</v>
      </c>
      <c r="I15" s="4" t="s">
        <v>21</v>
      </c>
      <c r="J15" s="4" t="s">
        <v>21</v>
      </c>
      <c r="K15" s="25">
        <f t="shared" si="3"/>
        <v>29104.157848101262</v>
      </c>
      <c r="L15" s="14">
        <v>27412.560000000001</v>
      </c>
      <c r="M15" s="26">
        <v>794</v>
      </c>
      <c r="N15" s="15">
        <f t="shared" ref="N15:N27" si="5">K15/E15</f>
        <v>831.54736708860753</v>
      </c>
      <c r="O15" s="15">
        <f t="shared" si="1"/>
        <v>3233.7953164556957</v>
      </c>
    </row>
    <row r="16" spans="1:15" x14ac:dyDescent="0.35">
      <c r="A16" s="1">
        <v>4574119</v>
      </c>
      <c r="B16" s="1">
        <v>8</v>
      </c>
      <c r="C16" s="3">
        <v>44942</v>
      </c>
      <c r="D16" s="4">
        <v>7</v>
      </c>
      <c r="E16" s="4">
        <f t="shared" si="4"/>
        <v>55</v>
      </c>
      <c r="F16">
        <f>55*7</f>
        <v>385</v>
      </c>
      <c r="G16" s="4">
        <v>3</v>
      </c>
      <c r="H16" s="4" t="s">
        <v>20</v>
      </c>
      <c r="I16" s="4" t="s">
        <v>21</v>
      </c>
      <c r="J16" s="4" t="s">
        <v>21</v>
      </c>
      <c r="K16" s="25">
        <f t="shared" si="3"/>
        <v>13615.630474683541</v>
      </c>
      <c r="L16" s="14">
        <v>12824.26</v>
      </c>
      <c r="M16" s="26">
        <v>9767</v>
      </c>
      <c r="N16" s="15">
        <f t="shared" si="5"/>
        <v>247.55691772151894</v>
      </c>
      <c r="O16" s="15">
        <f t="shared" ref="O16:O27" si="6">K16/D16</f>
        <v>1945.0900678119344</v>
      </c>
    </row>
    <row r="17" spans="1:15" x14ac:dyDescent="0.35">
      <c r="A17" s="1">
        <v>4574125</v>
      </c>
      <c r="B17" s="1">
        <v>8</v>
      </c>
      <c r="C17" s="3">
        <v>44942</v>
      </c>
      <c r="D17" s="4">
        <v>10</v>
      </c>
      <c r="E17" s="4">
        <f t="shared" si="4"/>
        <v>38</v>
      </c>
      <c r="F17">
        <v>266</v>
      </c>
      <c r="G17" s="4">
        <v>3</v>
      </c>
      <c r="H17" s="4" t="s">
        <v>20</v>
      </c>
      <c r="I17" s="4" t="s">
        <v>21</v>
      </c>
      <c r="J17" s="4" t="s">
        <v>21</v>
      </c>
      <c r="K17" s="25">
        <f t="shared" si="3"/>
        <v>39754.690284810116</v>
      </c>
      <c r="L17" s="14">
        <v>37444.06</v>
      </c>
      <c r="M17" s="26">
        <v>794</v>
      </c>
      <c r="N17" s="15">
        <f t="shared" si="5"/>
        <v>1046.1760601265821</v>
      </c>
      <c r="O17" s="15">
        <f t="shared" si="6"/>
        <v>3975.4690284810117</v>
      </c>
    </row>
    <row r="18" spans="1:15" x14ac:dyDescent="0.35">
      <c r="A18" s="1">
        <v>4574135</v>
      </c>
      <c r="B18" s="1">
        <v>8</v>
      </c>
      <c r="C18" s="3">
        <v>44944</v>
      </c>
      <c r="D18" s="4">
        <v>4</v>
      </c>
      <c r="E18" s="4">
        <f t="shared" si="4"/>
        <v>20</v>
      </c>
      <c r="F18">
        <v>140</v>
      </c>
      <c r="G18" s="4">
        <v>3</v>
      </c>
      <c r="H18" s="4" t="s">
        <v>20</v>
      </c>
      <c r="I18" s="4" t="s">
        <v>21</v>
      </c>
      <c r="J18" s="4" t="s">
        <v>21</v>
      </c>
      <c r="K18" s="25">
        <f t="shared" si="3"/>
        <v>17681.210981012657</v>
      </c>
      <c r="L18" s="14">
        <v>16653.54</v>
      </c>
      <c r="M18" s="26">
        <v>794</v>
      </c>
      <c r="N18" s="15">
        <f t="shared" si="5"/>
        <v>884.06054905063286</v>
      </c>
      <c r="O18" s="15">
        <f t="shared" si="6"/>
        <v>4420.3027452531642</v>
      </c>
    </row>
    <row r="19" spans="1:15" x14ac:dyDescent="0.35">
      <c r="A19" s="1">
        <v>4574139</v>
      </c>
      <c r="B19" s="1">
        <v>8</v>
      </c>
      <c r="C19" s="3">
        <v>44944</v>
      </c>
      <c r="D19" s="4">
        <v>3</v>
      </c>
      <c r="E19" s="4">
        <f t="shared" si="4"/>
        <v>11</v>
      </c>
      <c r="F19">
        <v>77</v>
      </c>
      <c r="G19" s="4">
        <v>3</v>
      </c>
      <c r="H19" s="4" t="s">
        <v>20</v>
      </c>
      <c r="I19" s="4" t="s">
        <v>21</v>
      </c>
      <c r="J19" s="4" t="s">
        <v>21</v>
      </c>
      <c r="K19" s="25">
        <f t="shared" si="3"/>
        <v>5827.1678481012641</v>
      </c>
      <c r="L19" s="14">
        <v>5488.48</v>
      </c>
      <c r="M19" s="26">
        <v>587</v>
      </c>
      <c r="N19" s="15">
        <f t="shared" si="5"/>
        <v>529.74253164556944</v>
      </c>
      <c r="O19" s="15">
        <f t="shared" si="6"/>
        <v>1942.3892827004213</v>
      </c>
    </row>
    <row r="20" spans="1:15" x14ac:dyDescent="0.35">
      <c r="A20" s="1">
        <v>4574056</v>
      </c>
      <c r="B20" s="1">
        <v>8</v>
      </c>
      <c r="C20" s="3">
        <v>44945</v>
      </c>
      <c r="D20" s="4">
        <v>8</v>
      </c>
      <c r="E20" s="4">
        <f t="shared" si="4"/>
        <v>31</v>
      </c>
      <c r="F20">
        <v>217</v>
      </c>
      <c r="G20" s="4">
        <v>3</v>
      </c>
      <c r="H20" s="4" t="s">
        <v>20</v>
      </c>
      <c r="I20" s="4" t="s">
        <v>21</v>
      </c>
      <c r="J20" s="4" t="s">
        <v>21</v>
      </c>
      <c r="K20" s="25">
        <f t="shared" si="3"/>
        <v>30652.023196202525</v>
      </c>
      <c r="L20" s="14">
        <v>28870.46</v>
      </c>
      <c r="M20" s="26">
        <v>5096.53</v>
      </c>
      <c r="N20" s="15">
        <f t="shared" si="5"/>
        <v>988.77494181298471</v>
      </c>
      <c r="O20" s="15">
        <f t="shared" si="6"/>
        <v>3831.5028995253156</v>
      </c>
    </row>
    <row r="21" spans="1:15" x14ac:dyDescent="0.35">
      <c r="A21" s="1">
        <v>4599024</v>
      </c>
      <c r="B21" s="1">
        <v>8</v>
      </c>
      <c r="C21" s="3">
        <v>44945</v>
      </c>
      <c r="D21" s="4">
        <v>3</v>
      </c>
      <c r="E21" s="4">
        <f t="shared" si="4"/>
        <v>13</v>
      </c>
      <c r="F21">
        <v>91</v>
      </c>
      <c r="G21" s="4">
        <v>3</v>
      </c>
      <c r="H21" s="4" t="s">
        <v>20</v>
      </c>
      <c r="I21" s="4" t="s">
        <v>21</v>
      </c>
      <c r="J21" s="4" t="s">
        <v>21</v>
      </c>
      <c r="K21" s="25">
        <f t="shared" si="3"/>
        <v>5986.73207278481</v>
      </c>
      <c r="L21" s="14">
        <v>5638.77</v>
      </c>
      <c r="M21" s="26">
        <v>587</v>
      </c>
      <c r="N21" s="15">
        <f t="shared" si="5"/>
        <v>460.5178517526777</v>
      </c>
      <c r="O21" s="15">
        <f t="shared" si="6"/>
        <v>1995.5773575949368</v>
      </c>
    </row>
    <row r="22" spans="1:15" x14ac:dyDescent="0.35">
      <c r="A22" s="1">
        <v>4574095</v>
      </c>
      <c r="B22" s="1">
        <v>8</v>
      </c>
      <c r="C22" s="3">
        <v>44949</v>
      </c>
      <c r="D22" s="4">
        <v>6</v>
      </c>
      <c r="E22" s="4">
        <f t="shared" si="4"/>
        <v>23</v>
      </c>
      <c r="F22">
        <f>21+5*28</f>
        <v>161</v>
      </c>
      <c r="G22" s="4">
        <v>3</v>
      </c>
      <c r="H22" s="4" t="s">
        <v>20</v>
      </c>
      <c r="I22" s="4" t="s">
        <v>21</v>
      </c>
      <c r="J22" s="4" t="s">
        <v>21</v>
      </c>
      <c r="K22" s="25">
        <f t="shared" si="3"/>
        <v>16727.477911392401</v>
      </c>
      <c r="L22" s="14">
        <v>15755.24</v>
      </c>
      <c r="M22" s="26">
        <v>794</v>
      </c>
      <c r="N22" s="15">
        <f t="shared" si="5"/>
        <v>727.28164832140874</v>
      </c>
      <c r="O22" s="15">
        <f t="shared" si="6"/>
        <v>2787.9129852320671</v>
      </c>
    </row>
    <row r="23" spans="1:15" x14ac:dyDescent="0.35">
      <c r="A23" s="1">
        <v>4574138</v>
      </c>
      <c r="B23" s="1">
        <v>8</v>
      </c>
      <c r="C23" s="3">
        <v>44949</v>
      </c>
      <c r="D23" s="4">
        <v>7</v>
      </c>
      <c r="E23" s="4">
        <f t="shared" si="4"/>
        <v>29</v>
      </c>
      <c r="F23">
        <v>203</v>
      </c>
      <c r="G23" s="4">
        <v>3</v>
      </c>
      <c r="H23" s="4" t="s">
        <v>20</v>
      </c>
      <c r="I23" s="4" t="s">
        <v>21</v>
      </c>
      <c r="J23" s="4" t="s">
        <v>21</v>
      </c>
      <c r="K23" s="25">
        <f t="shared" si="3"/>
        <v>37382.864541139228</v>
      </c>
      <c r="L23" s="14">
        <v>35210.089999999997</v>
      </c>
      <c r="M23" s="26">
        <v>794</v>
      </c>
      <c r="N23" s="15">
        <f t="shared" si="5"/>
        <v>1289.0642945220422</v>
      </c>
      <c r="O23" s="15">
        <f t="shared" si="6"/>
        <v>5340.4092201627473</v>
      </c>
    </row>
    <row r="24" spans="1:15" x14ac:dyDescent="0.35">
      <c r="A24" s="1">
        <v>4574132</v>
      </c>
      <c r="B24" s="1">
        <v>8</v>
      </c>
      <c r="C24" s="3">
        <v>44950</v>
      </c>
      <c r="D24" s="4">
        <v>11</v>
      </c>
      <c r="E24" s="4">
        <f t="shared" si="4"/>
        <v>50</v>
      </c>
      <c r="F24">
        <v>350</v>
      </c>
      <c r="G24" s="4">
        <v>3</v>
      </c>
      <c r="H24" s="4" t="s">
        <v>20</v>
      </c>
      <c r="I24" s="4" t="s">
        <v>21</v>
      </c>
      <c r="J24" s="4" t="s">
        <v>21</v>
      </c>
      <c r="K24" s="25">
        <f t="shared" si="3"/>
        <v>95968.08688291139</v>
      </c>
      <c r="L24" s="14">
        <v>90390.21</v>
      </c>
      <c r="M24" s="26">
        <v>13485.89</v>
      </c>
      <c r="N24" s="15">
        <f t="shared" si="5"/>
        <v>1919.3617376582279</v>
      </c>
      <c r="O24" s="15">
        <f t="shared" si="6"/>
        <v>8724.3715348101268</v>
      </c>
    </row>
    <row r="25" spans="1:15" x14ac:dyDescent="0.35">
      <c r="A25" s="1">
        <v>4574059</v>
      </c>
      <c r="B25" s="1">
        <v>8</v>
      </c>
      <c r="C25" s="3">
        <v>44952</v>
      </c>
      <c r="D25" s="4">
        <v>8</v>
      </c>
      <c r="E25" s="4">
        <f t="shared" si="4"/>
        <v>42</v>
      </c>
      <c r="F25">
        <f>21*2+56*3+28*3</f>
        <v>294</v>
      </c>
      <c r="G25" s="4">
        <v>3</v>
      </c>
      <c r="H25" s="4" t="s">
        <v>20</v>
      </c>
      <c r="I25" s="4" t="s">
        <v>20</v>
      </c>
      <c r="J25" s="4" t="s">
        <v>21</v>
      </c>
      <c r="K25" s="25">
        <f t="shared" ref="K25" si="7">L25*134.2/126.4</f>
        <v>31401.313607594933</v>
      </c>
      <c r="L25" s="14">
        <v>29576.2</v>
      </c>
      <c r="M25" s="26">
        <v>639</v>
      </c>
      <c r="N25" s="15">
        <f t="shared" si="5"/>
        <v>747.65032399035556</v>
      </c>
      <c r="O25" s="15">
        <f t="shared" si="6"/>
        <v>3925.1642009493667</v>
      </c>
    </row>
    <row r="26" spans="1:15" x14ac:dyDescent="0.35">
      <c r="A26" s="1">
        <v>4574052</v>
      </c>
      <c r="B26" s="1">
        <v>8</v>
      </c>
      <c r="C26" s="3">
        <v>44956</v>
      </c>
      <c r="D26" s="4">
        <v>13</v>
      </c>
      <c r="E26" s="4">
        <f>13*4-3</f>
        <v>49</v>
      </c>
      <c r="F26">
        <v>352</v>
      </c>
      <c r="G26" s="4">
        <v>3</v>
      </c>
      <c r="H26" s="4" t="s">
        <v>20</v>
      </c>
      <c r="I26" s="4" t="s">
        <v>20</v>
      </c>
      <c r="J26" s="4" t="s">
        <v>21</v>
      </c>
      <c r="K26" s="25">
        <f>L26*134.2/126.4</f>
        <v>74580.121139240495</v>
      </c>
      <c r="L26" s="14">
        <v>70245.36</v>
      </c>
      <c r="M26" s="26">
        <v>8415.7199999999993</v>
      </c>
      <c r="N26" s="15">
        <f t="shared" si="5"/>
        <v>1522.0432885559285</v>
      </c>
      <c r="O26" s="15">
        <f t="shared" si="6"/>
        <v>5736.9323953261919</v>
      </c>
    </row>
    <row r="27" spans="1:15" x14ac:dyDescent="0.35">
      <c r="A27" s="1">
        <v>4574107</v>
      </c>
      <c r="B27" s="1">
        <v>8</v>
      </c>
      <c r="C27" s="3">
        <v>44958</v>
      </c>
      <c r="D27" s="4">
        <v>16</v>
      </c>
      <c r="E27" s="4">
        <f>F27/7</f>
        <v>72</v>
      </c>
      <c r="F27">
        <f>2*35+4*21+5*42+5*28</f>
        <v>504</v>
      </c>
      <c r="G27" s="4">
        <v>3</v>
      </c>
      <c r="H27" s="4" t="s">
        <v>20</v>
      </c>
      <c r="I27" s="4" t="s">
        <v>21</v>
      </c>
      <c r="J27" s="4" t="s">
        <v>21</v>
      </c>
      <c r="K27" s="25">
        <f>L27*134.2/127.9</f>
        <v>40075.572056293982</v>
      </c>
      <c r="L27" s="14">
        <v>38194.230000000003</v>
      </c>
      <c r="M27" s="26">
        <v>1055</v>
      </c>
      <c r="N27" s="15">
        <f t="shared" si="5"/>
        <v>556.60516744852748</v>
      </c>
      <c r="O27" s="15">
        <f t="shared" si="6"/>
        <v>2504.7232535183739</v>
      </c>
    </row>
    <row r="28" spans="1:15" x14ac:dyDescent="0.35">
      <c r="K28" s="7"/>
    </row>
  </sheetData>
  <sortState xmlns:xlrd2="http://schemas.microsoft.com/office/spreadsheetml/2017/richdata2" ref="A2:O27">
    <sortCondition ref="C2:C27"/>
  </sortState>
  <dataValidations count="1">
    <dataValidation type="list" allowBlank="1" showInputMessage="1" showErrorMessage="1" sqref="H2:H16" xr:uid="{365B3BC4-C849-4730-9519-B61B8CACDF48}">
      <formula1>"Yes, No"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E63C1-A453-4877-8927-2CA564CEC441}">
  <dimension ref="A1:O25"/>
  <sheetViews>
    <sheetView zoomScale="90" zoomScaleNormal="90" workbookViewId="0">
      <selection activeCell="N1" sqref="N1:N1048576"/>
    </sheetView>
  </sheetViews>
  <sheetFormatPr defaultColWidth="10.26953125" defaultRowHeight="14.5" x14ac:dyDescent="0.35"/>
  <cols>
    <col min="1" max="1" width="11.7265625" style="4" customWidth="1"/>
    <col min="2" max="2" width="20.7265625" bestFit="1" customWidth="1"/>
    <col min="3" max="3" width="13" style="4" bestFit="1" customWidth="1"/>
    <col min="4" max="4" width="23.54296875" bestFit="1" customWidth="1"/>
    <col min="5" max="5" width="24.1796875" bestFit="1" customWidth="1"/>
    <col min="6" max="6" width="5.1796875" bestFit="1" customWidth="1"/>
    <col min="7" max="7" width="17.26953125" bestFit="1" customWidth="1"/>
    <col min="8" max="8" width="13.453125" bestFit="1" customWidth="1"/>
    <col min="9" max="9" width="17.7265625" bestFit="1" customWidth="1"/>
    <col min="10" max="10" width="16.453125" bestFit="1" customWidth="1"/>
    <col min="11" max="11" width="32.90625" customWidth="1"/>
    <col min="12" max="12" width="14.26953125" style="2" bestFit="1" customWidth="1"/>
    <col min="13" max="13" width="20.453125" style="2" customWidth="1"/>
    <col min="14" max="14" width="23.26953125" style="2" bestFit="1" customWidth="1"/>
    <col min="15" max="15" width="22.7265625" style="2" bestFit="1" customWidth="1"/>
    <col min="16" max="16" width="31" customWidth="1"/>
  </cols>
  <sheetData>
    <row r="1" spans="1:15" x14ac:dyDescent="0.35">
      <c r="A1" s="10" t="s">
        <v>6</v>
      </c>
      <c r="B1" s="10" t="s">
        <v>7</v>
      </c>
      <c r="C1" s="10" t="s">
        <v>8</v>
      </c>
      <c r="D1" s="11" t="s">
        <v>9</v>
      </c>
      <c r="E1" s="11" t="s">
        <v>10</v>
      </c>
      <c r="F1" s="11" t="s">
        <v>11</v>
      </c>
      <c r="G1" s="11" t="s">
        <v>12</v>
      </c>
      <c r="H1" s="11" t="s">
        <v>36</v>
      </c>
      <c r="I1" s="11" t="s">
        <v>13</v>
      </c>
      <c r="J1" s="11" t="s">
        <v>14</v>
      </c>
      <c r="K1" s="11" t="s">
        <v>15</v>
      </c>
      <c r="L1" s="12" t="s">
        <v>16</v>
      </c>
      <c r="M1" s="12" t="s">
        <v>17</v>
      </c>
      <c r="N1" s="12" t="s">
        <v>18</v>
      </c>
      <c r="O1" s="12" t="s">
        <v>19</v>
      </c>
    </row>
    <row r="2" spans="1:15" x14ac:dyDescent="0.35">
      <c r="A2" s="5">
        <v>3776065</v>
      </c>
      <c r="B2" s="1">
        <v>3</v>
      </c>
      <c r="C2" s="6">
        <v>44139</v>
      </c>
      <c r="D2" s="4">
        <v>13</v>
      </c>
      <c r="E2" s="4">
        <v>28</v>
      </c>
      <c r="F2">
        <f>E2*7</f>
        <v>196</v>
      </c>
      <c r="G2" s="4"/>
      <c r="H2" s="4" t="s">
        <v>21</v>
      </c>
      <c r="I2" s="4" t="s">
        <v>21</v>
      </c>
      <c r="J2" s="4" t="s">
        <v>21</v>
      </c>
      <c r="K2" s="7">
        <f>L2*134.2/108.9</f>
        <v>11967.337373737373</v>
      </c>
      <c r="L2" s="2">
        <v>9711.2000000000007</v>
      </c>
      <c r="M2" s="2">
        <v>584</v>
      </c>
      <c r="N2" s="2">
        <f t="shared" ref="N2:N25" si="0">K2/E2</f>
        <v>427.40490620490618</v>
      </c>
      <c r="O2" s="2">
        <f t="shared" ref="O2:O25" si="1">K2/D2</f>
        <v>920.56441336441333</v>
      </c>
    </row>
    <row r="3" spans="1:15" x14ac:dyDescent="0.35">
      <c r="A3" s="5">
        <v>4130031</v>
      </c>
      <c r="B3" s="1">
        <v>5</v>
      </c>
      <c r="C3" s="6">
        <v>44515</v>
      </c>
      <c r="D3" s="4">
        <v>8</v>
      </c>
      <c r="E3" s="4">
        <f>F3/7</f>
        <v>15</v>
      </c>
      <c r="F3">
        <f>14+21+42+28</f>
        <v>105</v>
      </c>
      <c r="G3" s="4">
        <v>1</v>
      </c>
      <c r="H3" s="4" t="s">
        <v>21</v>
      </c>
      <c r="I3" s="4" t="s">
        <v>21</v>
      </c>
      <c r="J3" s="4" t="s">
        <v>21</v>
      </c>
      <c r="K3" s="7">
        <f>L3*134.2/114.5</f>
        <v>10514.095318777292</v>
      </c>
      <c r="L3" s="2">
        <v>8970.67</v>
      </c>
      <c r="M3" s="2">
        <v>753</v>
      </c>
      <c r="N3" s="2">
        <f t="shared" si="0"/>
        <v>700.93968791848613</v>
      </c>
      <c r="O3" s="2">
        <f t="shared" si="1"/>
        <v>1314.2619148471615</v>
      </c>
    </row>
    <row r="4" spans="1:15" x14ac:dyDescent="0.35">
      <c r="A4" s="5">
        <v>4130347</v>
      </c>
      <c r="B4" s="1">
        <v>5</v>
      </c>
      <c r="C4" s="6">
        <v>44515</v>
      </c>
      <c r="D4" s="4">
        <v>11</v>
      </c>
      <c r="E4" s="4">
        <f>F4/7</f>
        <v>39</v>
      </c>
      <c r="F4">
        <f>2*14+5*21+42+28+2*35</f>
        <v>273</v>
      </c>
      <c r="G4" s="4">
        <v>1</v>
      </c>
      <c r="H4" s="4" t="s">
        <v>21</v>
      </c>
      <c r="I4" s="4" t="s">
        <v>21</v>
      </c>
      <c r="J4" s="4" t="s">
        <v>21</v>
      </c>
      <c r="K4" s="7">
        <f>L4*134.2/114.5</f>
        <v>16715.037799126636</v>
      </c>
      <c r="L4" s="2">
        <v>14261.34</v>
      </c>
      <c r="M4" s="2">
        <v>753</v>
      </c>
      <c r="N4" s="2">
        <f t="shared" si="0"/>
        <v>428.59071279811889</v>
      </c>
      <c r="O4" s="2">
        <f t="shared" si="1"/>
        <v>1519.5488908296941</v>
      </c>
    </row>
    <row r="5" spans="1:15" x14ac:dyDescent="0.35">
      <c r="A5" s="5">
        <v>4131082</v>
      </c>
      <c r="B5" s="1">
        <v>5</v>
      </c>
      <c r="C5" s="6">
        <v>44515</v>
      </c>
      <c r="D5" s="4">
        <v>12</v>
      </c>
      <c r="E5" s="4">
        <v>37</v>
      </c>
      <c r="F5">
        <f>6*14+3*21+42+28+44</f>
        <v>261</v>
      </c>
      <c r="G5" s="4"/>
      <c r="H5" s="4" t="s">
        <v>21</v>
      </c>
      <c r="I5" s="4" t="s">
        <v>20</v>
      </c>
      <c r="J5" s="4" t="s">
        <v>21</v>
      </c>
      <c r="K5" s="7">
        <f>L5*134.2/114.5</f>
        <v>20969.459091703055</v>
      </c>
      <c r="L5" s="2">
        <v>17891.23</v>
      </c>
      <c r="M5" s="2">
        <v>10302.18</v>
      </c>
      <c r="N5" s="2">
        <f t="shared" si="0"/>
        <v>566.74213761359601</v>
      </c>
      <c r="O5" s="2">
        <f t="shared" si="1"/>
        <v>1747.4549243085878</v>
      </c>
    </row>
    <row r="6" spans="1:15" x14ac:dyDescent="0.35">
      <c r="A6" s="5">
        <v>4131221</v>
      </c>
      <c r="B6" s="1">
        <v>5</v>
      </c>
      <c r="C6" s="6">
        <v>44515</v>
      </c>
      <c r="D6" s="4">
        <v>6</v>
      </c>
      <c r="E6" s="4">
        <v>20</v>
      </c>
      <c r="F6">
        <f>24+2*28+3*21</f>
        <v>143</v>
      </c>
      <c r="G6" s="4">
        <v>1</v>
      </c>
      <c r="H6" s="4" t="s">
        <v>21</v>
      </c>
      <c r="I6" s="4" t="s">
        <v>21</v>
      </c>
      <c r="J6" s="4" t="s">
        <v>21</v>
      </c>
      <c r="K6" s="7">
        <f>L6*134.2/114.5</f>
        <v>5898.3654323144101</v>
      </c>
      <c r="L6" s="2">
        <v>5032.51</v>
      </c>
      <c r="M6" s="2">
        <v>753</v>
      </c>
      <c r="N6" s="2">
        <f t="shared" si="0"/>
        <v>294.91827161572053</v>
      </c>
      <c r="O6" s="2">
        <f t="shared" si="1"/>
        <v>983.06090538573505</v>
      </c>
    </row>
    <row r="7" spans="1:15" x14ac:dyDescent="0.35">
      <c r="A7" s="5">
        <v>4150070</v>
      </c>
      <c r="B7" s="1">
        <v>5</v>
      </c>
      <c r="C7" s="6">
        <v>44515</v>
      </c>
      <c r="D7" s="4">
        <v>9</v>
      </c>
      <c r="E7" s="4">
        <v>30</v>
      </c>
      <c r="F7">
        <f>7*21+42+25</f>
        <v>214</v>
      </c>
      <c r="G7" s="4">
        <v>1</v>
      </c>
      <c r="H7" s="4" t="s">
        <v>21</v>
      </c>
      <c r="I7" s="4" t="s">
        <v>21</v>
      </c>
      <c r="J7" s="4" t="s">
        <v>21</v>
      </c>
      <c r="K7" s="7">
        <f>L7*134.2/114.5</f>
        <v>7912.5492052401742</v>
      </c>
      <c r="L7" s="2">
        <v>6751.02</v>
      </c>
      <c r="M7" s="2">
        <v>753</v>
      </c>
      <c r="N7" s="2">
        <f t="shared" si="0"/>
        <v>263.75164017467245</v>
      </c>
      <c r="O7" s="2">
        <f t="shared" si="1"/>
        <v>879.17213391557493</v>
      </c>
    </row>
    <row r="8" spans="1:15" x14ac:dyDescent="0.35">
      <c r="A8" s="5">
        <v>4130444</v>
      </c>
      <c r="B8" s="1">
        <v>5</v>
      </c>
      <c r="C8" s="6">
        <v>44553</v>
      </c>
      <c r="D8" s="4">
        <v>5</v>
      </c>
      <c r="E8" s="4">
        <f>F8/7</f>
        <v>18</v>
      </c>
      <c r="F8">
        <f>14+42*2+28</f>
        <v>126</v>
      </c>
      <c r="G8" s="4">
        <v>1</v>
      </c>
      <c r="H8" s="4" t="s">
        <v>21</v>
      </c>
      <c r="I8" s="4" t="s">
        <v>21</v>
      </c>
      <c r="J8" s="4" t="s">
        <v>21</v>
      </c>
      <c r="K8" s="7">
        <f>L8*134.2/115.1</f>
        <v>4542.8157428323202</v>
      </c>
      <c r="L8" s="2">
        <v>3896.26</v>
      </c>
      <c r="M8" s="2">
        <v>753</v>
      </c>
      <c r="N8" s="2">
        <f t="shared" si="0"/>
        <v>252.37865237957334</v>
      </c>
      <c r="O8" s="2">
        <f t="shared" si="1"/>
        <v>908.56314856646406</v>
      </c>
    </row>
    <row r="9" spans="1:15" x14ac:dyDescent="0.35">
      <c r="A9" s="5">
        <v>4131698</v>
      </c>
      <c r="B9" s="1">
        <v>5</v>
      </c>
      <c r="C9" s="6">
        <v>44559</v>
      </c>
      <c r="D9" s="4">
        <v>14</v>
      </c>
      <c r="E9" s="4">
        <f>F9/7</f>
        <v>46</v>
      </c>
      <c r="F9">
        <f>12*21+42+28</f>
        <v>322</v>
      </c>
      <c r="G9" s="4">
        <v>1</v>
      </c>
      <c r="H9" s="4" t="s">
        <v>21</v>
      </c>
      <c r="I9" s="4" t="s">
        <v>21</v>
      </c>
      <c r="J9" s="4" t="s">
        <v>21</v>
      </c>
      <c r="K9" s="7">
        <f>L9*134.2/115.1</f>
        <v>38873.589244135539</v>
      </c>
      <c r="L9" s="2">
        <v>33340.910000000003</v>
      </c>
      <c r="M9" s="2">
        <v>4535.3599999999997</v>
      </c>
      <c r="N9" s="2">
        <f t="shared" si="0"/>
        <v>845.07802704642472</v>
      </c>
      <c r="O9" s="2">
        <f t="shared" si="1"/>
        <v>2776.6849460096814</v>
      </c>
    </row>
    <row r="10" spans="1:15" x14ac:dyDescent="0.35">
      <c r="A10" s="5">
        <v>4201270</v>
      </c>
      <c r="B10" s="1">
        <v>5</v>
      </c>
      <c r="C10" s="6">
        <v>44574</v>
      </c>
      <c r="D10" s="4">
        <v>8</v>
      </c>
      <c r="E10" s="4">
        <v>28</v>
      </c>
      <c r="F10">
        <f>E10*7</f>
        <v>196</v>
      </c>
      <c r="G10" s="4"/>
      <c r="H10" s="4" t="s">
        <v>21</v>
      </c>
      <c r="I10" s="4" t="s">
        <v>21</v>
      </c>
      <c r="J10" s="4" t="s">
        <v>21</v>
      </c>
      <c r="K10" s="7">
        <f>L10*134.2/114.9</f>
        <v>9678.0858659704081</v>
      </c>
      <c r="L10" s="2">
        <v>8286.23</v>
      </c>
      <c r="M10" s="2">
        <v>694.14</v>
      </c>
      <c r="N10" s="2">
        <f t="shared" si="0"/>
        <v>345.64592378465744</v>
      </c>
      <c r="O10" s="2">
        <f t="shared" si="1"/>
        <v>1209.760733246301</v>
      </c>
    </row>
    <row r="11" spans="1:15" x14ac:dyDescent="0.35">
      <c r="A11" s="5">
        <v>4197571</v>
      </c>
      <c r="B11" s="1">
        <v>6</v>
      </c>
      <c r="C11" s="6">
        <v>44606</v>
      </c>
      <c r="D11" s="4">
        <v>6</v>
      </c>
      <c r="E11" s="4">
        <f>F11/7</f>
        <v>14</v>
      </c>
      <c r="F11">
        <f>2*21+4*14</f>
        <v>98</v>
      </c>
      <c r="G11" s="4">
        <v>1</v>
      </c>
      <c r="H11" s="4" t="s">
        <v>21</v>
      </c>
      <c r="I11" s="4" t="s">
        <v>21</v>
      </c>
      <c r="J11" s="4" t="s">
        <v>21</v>
      </c>
      <c r="K11" s="7">
        <f t="shared" ref="K11:K16" si="2">L11*134.2/115.8</f>
        <v>5882.1899654576846</v>
      </c>
      <c r="L11" s="2">
        <v>5075.6899999999996</v>
      </c>
      <c r="M11" s="2">
        <v>556</v>
      </c>
      <c r="N11" s="2">
        <f t="shared" si="0"/>
        <v>420.15642610412033</v>
      </c>
      <c r="O11" s="2">
        <f t="shared" si="1"/>
        <v>980.36499424294743</v>
      </c>
    </row>
    <row r="12" spans="1:15" x14ac:dyDescent="0.35">
      <c r="A12" s="5">
        <v>4197635</v>
      </c>
      <c r="B12" s="1">
        <v>6</v>
      </c>
      <c r="C12" s="6">
        <v>44607</v>
      </c>
      <c r="D12" s="4">
        <v>12</v>
      </c>
      <c r="E12" s="4">
        <f>F12/7</f>
        <v>48</v>
      </c>
      <c r="F12">
        <f>56+42+6*21+4*28</f>
        <v>336</v>
      </c>
      <c r="G12" s="4"/>
      <c r="H12" s="4" t="s">
        <v>21</v>
      </c>
      <c r="I12" s="4" t="s">
        <v>21</v>
      </c>
      <c r="J12" s="4" t="s">
        <v>21</v>
      </c>
      <c r="K12" s="7">
        <f t="shared" si="2"/>
        <v>11762.896545768566</v>
      </c>
      <c r="L12" s="2">
        <v>10150.1</v>
      </c>
      <c r="M12" s="2">
        <v>835</v>
      </c>
      <c r="N12" s="2">
        <f t="shared" si="0"/>
        <v>245.06034470351179</v>
      </c>
      <c r="O12" s="2">
        <f t="shared" si="1"/>
        <v>980.24137881404715</v>
      </c>
    </row>
    <row r="13" spans="1:15" x14ac:dyDescent="0.35">
      <c r="A13" s="5">
        <v>4220456</v>
      </c>
      <c r="B13" s="1">
        <v>6</v>
      </c>
      <c r="C13" s="6">
        <v>44608</v>
      </c>
      <c r="D13" s="4">
        <v>16</v>
      </c>
      <c r="E13" s="4">
        <f>F13/7</f>
        <v>62</v>
      </c>
      <c r="F13">
        <f>3*14+4*21+4*42+5*28</f>
        <v>434</v>
      </c>
      <c r="G13" s="4"/>
      <c r="H13" s="4" t="s">
        <v>21</v>
      </c>
      <c r="I13" s="4" t="s">
        <v>21</v>
      </c>
      <c r="J13" s="4" t="s">
        <v>21</v>
      </c>
      <c r="K13" s="7">
        <f t="shared" si="2"/>
        <v>15517.019861830742</v>
      </c>
      <c r="L13" s="2">
        <v>13389.5</v>
      </c>
      <c r="M13" s="2">
        <v>916</v>
      </c>
      <c r="N13" s="2">
        <f t="shared" si="0"/>
        <v>250.27451390049583</v>
      </c>
      <c r="O13" s="2">
        <f t="shared" si="1"/>
        <v>969.81374136442139</v>
      </c>
    </row>
    <row r="14" spans="1:15" x14ac:dyDescent="0.35">
      <c r="A14" s="5">
        <v>4197612</v>
      </c>
      <c r="B14" s="1">
        <v>6</v>
      </c>
      <c r="C14" s="6">
        <v>44610</v>
      </c>
      <c r="D14" s="4">
        <v>8</v>
      </c>
      <c r="E14" s="4">
        <f>F14/7</f>
        <v>46</v>
      </c>
      <c r="F14">
        <f>4*28+42+3*56</f>
        <v>322</v>
      </c>
      <c r="G14" s="4"/>
      <c r="H14" s="4" t="s">
        <v>21</v>
      </c>
      <c r="I14" s="4" t="s">
        <v>20</v>
      </c>
      <c r="J14" s="4" t="s">
        <v>21</v>
      </c>
      <c r="K14" s="7">
        <f t="shared" si="2"/>
        <v>37083.145284974089</v>
      </c>
      <c r="L14" s="2">
        <v>31998.720000000001</v>
      </c>
      <c r="M14" s="2">
        <v>25751.63</v>
      </c>
      <c r="N14" s="2">
        <f t="shared" si="0"/>
        <v>806.15533228204538</v>
      </c>
      <c r="O14" s="2">
        <f t="shared" si="1"/>
        <v>4635.3931606217611</v>
      </c>
    </row>
    <row r="15" spans="1:15" x14ac:dyDescent="0.35">
      <c r="A15" s="5">
        <v>4197667</v>
      </c>
      <c r="B15" s="1">
        <v>6</v>
      </c>
      <c r="C15" s="6">
        <v>44610</v>
      </c>
      <c r="D15" s="4">
        <v>16</v>
      </c>
      <c r="E15" s="4">
        <v>73</v>
      </c>
      <c r="F15">
        <f>14+8*21+28+3*42+2*56+69</f>
        <v>517</v>
      </c>
      <c r="G15" s="4"/>
      <c r="H15" s="4" t="s">
        <v>21</v>
      </c>
      <c r="I15" s="4" t="s">
        <v>20</v>
      </c>
      <c r="J15" s="4" t="s">
        <v>21</v>
      </c>
      <c r="K15" s="7">
        <f t="shared" si="2"/>
        <v>34830.358393782386</v>
      </c>
      <c r="L15" s="2">
        <v>30054.81</v>
      </c>
      <c r="M15" s="2">
        <v>9238.42</v>
      </c>
      <c r="N15" s="2">
        <f t="shared" si="0"/>
        <v>477.12819717510115</v>
      </c>
      <c r="O15" s="2">
        <f t="shared" si="1"/>
        <v>2176.8973996113991</v>
      </c>
    </row>
    <row r="16" spans="1:15" x14ac:dyDescent="0.35">
      <c r="A16" s="5">
        <v>4197686</v>
      </c>
      <c r="B16" s="1">
        <v>6</v>
      </c>
      <c r="C16" s="6">
        <v>44613</v>
      </c>
      <c r="D16" s="4">
        <v>12</v>
      </c>
      <c r="E16" s="4">
        <f t="shared" ref="E16:E25" si="3">F16/7</f>
        <v>43</v>
      </c>
      <c r="F16">
        <f>5*28+42+14+5*21</f>
        <v>301</v>
      </c>
      <c r="G16" s="4"/>
      <c r="H16" s="4" t="s">
        <v>21</v>
      </c>
      <c r="I16" s="4" t="s">
        <v>21</v>
      </c>
      <c r="J16" s="4" t="s">
        <v>21</v>
      </c>
      <c r="K16" s="7">
        <f t="shared" si="2"/>
        <v>10623.587219343695</v>
      </c>
      <c r="L16" s="2">
        <v>9167</v>
      </c>
      <c r="M16" s="2">
        <v>916</v>
      </c>
      <c r="N16" s="2">
        <f t="shared" si="0"/>
        <v>247.06016789171383</v>
      </c>
      <c r="O16" s="2">
        <f t="shared" si="1"/>
        <v>885.29893494530791</v>
      </c>
    </row>
    <row r="17" spans="1:15" x14ac:dyDescent="0.35">
      <c r="A17" s="5">
        <v>4449027</v>
      </c>
      <c r="B17" s="1">
        <v>7</v>
      </c>
      <c r="C17" s="6">
        <v>44819</v>
      </c>
      <c r="D17" s="4">
        <v>4</v>
      </c>
      <c r="E17" s="4">
        <f t="shared" si="3"/>
        <v>16</v>
      </c>
      <c r="F17">
        <f>21+2*28+35</f>
        <v>112</v>
      </c>
      <c r="G17" s="4"/>
      <c r="H17" s="4" t="s">
        <v>21</v>
      </c>
      <c r="I17" s="4" t="s">
        <v>21</v>
      </c>
      <c r="J17" s="4" t="s">
        <v>21</v>
      </c>
      <c r="K17" s="7">
        <f>L17*134.2/123.8</f>
        <v>4155.3219709208397</v>
      </c>
      <c r="L17" s="2">
        <v>3833.3</v>
      </c>
      <c r="M17" s="2">
        <v>587</v>
      </c>
      <c r="N17" s="2">
        <f t="shared" si="0"/>
        <v>259.70762318255248</v>
      </c>
      <c r="O17" s="2">
        <f t="shared" si="1"/>
        <v>1038.8304927302099</v>
      </c>
    </row>
    <row r="18" spans="1:15" x14ac:dyDescent="0.35">
      <c r="A18" s="5">
        <v>4448983</v>
      </c>
      <c r="B18" s="1">
        <v>7</v>
      </c>
      <c r="C18" s="6">
        <v>44848</v>
      </c>
      <c r="D18" s="4">
        <v>7</v>
      </c>
      <c r="E18" s="4">
        <f t="shared" si="3"/>
        <v>23</v>
      </c>
      <c r="F18">
        <f>3*21+2*14+28+42</f>
        <v>161</v>
      </c>
      <c r="G18" s="4"/>
      <c r="H18" s="4" t="s">
        <v>21</v>
      </c>
      <c r="I18" s="4" t="s">
        <v>21</v>
      </c>
      <c r="J18" s="4" t="s">
        <v>21</v>
      </c>
      <c r="K18" s="7">
        <f t="shared" ref="K18:K25" si="4">L18*134.2/126.2</f>
        <v>6688.0622345483353</v>
      </c>
      <c r="L18" s="2">
        <v>6289.37</v>
      </c>
      <c r="M18" s="2">
        <v>794</v>
      </c>
      <c r="N18" s="2">
        <f t="shared" si="0"/>
        <v>290.78531454557981</v>
      </c>
      <c r="O18" s="2">
        <f t="shared" si="1"/>
        <v>955.43746207833362</v>
      </c>
    </row>
    <row r="19" spans="1:15" x14ac:dyDescent="0.35">
      <c r="A19" s="5">
        <v>4449049</v>
      </c>
      <c r="B19" s="1">
        <v>7</v>
      </c>
      <c r="C19" s="6">
        <v>44849</v>
      </c>
      <c r="D19" s="4">
        <v>7</v>
      </c>
      <c r="E19" s="4">
        <f t="shared" si="3"/>
        <v>37</v>
      </c>
      <c r="F19">
        <f>3*28+42+56*2+21</f>
        <v>259</v>
      </c>
      <c r="G19" s="4"/>
      <c r="H19" s="4" t="s">
        <v>21</v>
      </c>
      <c r="I19" s="4" t="s">
        <v>21</v>
      </c>
      <c r="J19" s="4" t="s">
        <v>21</v>
      </c>
      <c r="K19" s="7">
        <f t="shared" si="4"/>
        <v>6826.7922820919166</v>
      </c>
      <c r="L19" s="2">
        <v>6419.83</v>
      </c>
      <c r="M19" s="2">
        <v>794</v>
      </c>
      <c r="N19" s="2">
        <f t="shared" si="0"/>
        <v>184.50789951599774</v>
      </c>
      <c r="O19" s="2">
        <f t="shared" si="1"/>
        <v>975.25604029884528</v>
      </c>
    </row>
    <row r="20" spans="1:15" x14ac:dyDescent="0.35">
      <c r="A20" s="5">
        <v>4449072</v>
      </c>
      <c r="B20" s="1">
        <v>7</v>
      </c>
      <c r="C20" s="6">
        <v>44849</v>
      </c>
      <c r="D20" s="4">
        <v>7</v>
      </c>
      <c r="E20" s="4">
        <f t="shared" si="3"/>
        <v>36</v>
      </c>
      <c r="F20">
        <f>4*42+3*28</f>
        <v>252</v>
      </c>
      <c r="G20" s="4"/>
      <c r="H20" s="4" t="s">
        <v>21</v>
      </c>
      <c r="I20" s="4" t="s">
        <v>21</v>
      </c>
      <c r="J20" s="4" t="s">
        <v>21</v>
      </c>
      <c r="K20" s="7">
        <f t="shared" si="4"/>
        <v>7263.4208082408877</v>
      </c>
      <c r="L20" s="2">
        <v>6830.43</v>
      </c>
      <c r="M20" s="2">
        <v>794</v>
      </c>
      <c r="N20" s="2">
        <f t="shared" si="0"/>
        <v>201.76168911780243</v>
      </c>
      <c r="O20" s="2">
        <f t="shared" si="1"/>
        <v>1037.6315440344126</v>
      </c>
    </row>
    <row r="21" spans="1:15" x14ac:dyDescent="0.35">
      <c r="A21" s="5">
        <v>4467288</v>
      </c>
      <c r="B21" s="1">
        <v>7</v>
      </c>
      <c r="C21" s="6">
        <v>44852</v>
      </c>
      <c r="D21" s="4">
        <v>11</v>
      </c>
      <c r="E21" s="4">
        <f t="shared" si="3"/>
        <v>52</v>
      </c>
      <c r="F21">
        <f>21+14+28*4+4*42+49</f>
        <v>364</v>
      </c>
      <c r="G21" s="4"/>
      <c r="H21" s="4" t="s">
        <v>21</v>
      </c>
      <c r="I21" s="4" t="s">
        <v>21</v>
      </c>
      <c r="J21" s="4" t="s">
        <v>21</v>
      </c>
      <c r="K21" s="7">
        <f t="shared" si="4"/>
        <v>22024.750871632325</v>
      </c>
      <c r="L21" s="2">
        <v>20711.8</v>
      </c>
      <c r="M21" s="2">
        <v>794</v>
      </c>
      <c r="N21" s="2">
        <f t="shared" si="0"/>
        <v>423.55290137754469</v>
      </c>
      <c r="O21" s="2">
        <f t="shared" si="1"/>
        <v>2002.2500792393023</v>
      </c>
    </row>
    <row r="22" spans="1:15" x14ac:dyDescent="0.35">
      <c r="A22" s="5">
        <v>4458851</v>
      </c>
      <c r="B22" s="1">
        <v>7</v>
      </c>
      <c r="C22" s="6">
        <v>44852</v>
      </c>
      <c r="D22" s="4">
        <v>7</v>
      </c>
      <c r="E22" s="4">
        <f t="shared" si="3"/>
        <v>27</v>
      </c>
      <c r="F22">
        <f>2*35+2*28+3*21</f>
        <v>189</v>
      </c>
      <c r="G22" s="4"/>
      <c r="H22" s="4" t="s">
        <v>21</v>
      </c>
      <c r="I22" s="4" t="s">
        <v>21</v>
      </c>
      <c r="J22" s="4" t="s">
        <v>21</v>
      </c>
      <c r="K22" s="7">
        <f t="shared" si="4"/>
        <v>6659.6165134706807</v>
      </c>
      <c r="L22" s="2">
        <v>6262.62</v>
      </c>
      <c r="M22" s="2">
        <v>794</v>
      </c>
      <c r="N22" s="2">
        <f t="shared" si="0"/>
        <v>246.65246346187706</v>
      </c>
      <c r="O22" s="2">
        <f t="shared" si="1"/>
        <v>951.37378763866866</v>
      </c>
    </row>
    <row r="23" spans="1:15" x14ac:dyDescent="0.35">
      <c r="A23" s="5">
        <v>4458864</v>
      </c>
      <c r="B23" s="1">
        <v>7</v>
      </c>
      <c r="C23" s="6">
        <v>44853</v>
      </c>
      <c r="D23" s="4">
        <v>8</v>
      </c>
      <c r="E23" s="4">
        <f t="shared" si="3"/>
        <v>32</v>
      </c>
      <c r="F23">
        <f>5*21+56+28+35</f>
        <v>224</v>
      </c>
      <c r="G23" s="4"/>
      <c r="H23" s="4" t="s">
        <v>21</v>
      </c>
      <c r="I23" s="4" t="s">
        <v>21</v>
      </c>
      <c r="J23" s="4" t="s">
        <v>21</v>
      </c>
      <c r="K23" s="7">
        <f t="shared" si="4"/>
        <v>7353.0328050713142</v>
      </c>
      <c r="L23" s="2">
        <v>6914.7</v>
      </c>
      <c r="M23" s="2">
        <v>794</v>
      </c>
      <c r="N23" s="2">
        <f t="shared" si="0"/>
        <v>229.78227515847857</v>
      </c>
      <c r="O23" s="2">
        <f t="shared" si="1"/>
        <v>919.12910063391428</v>
      </c>
    </row>
    <row r="24" spans="1:15" x14ac:dyDescent="0.35">
      <c r="A24" s="5">
        <v>4467313</v>
      </c>
      <c r="B24" s="1">
        <v>7</v>
      </c>
      <c r="C24" s="6">
        <v>44854</v>
      </c>
      <c r="D24" s="4">
        <v>6</v>
      </c>
      <c r="E24" s="4">
        <f t="shared" si="3"/>
        <v>23</v>
      </c>
      <c r="F24">
        <f>3*21+28*2+42</f>
        <v>161</v>
      </c>
      <c r="G24" s="4"/>
      <c r="H24" s="4" t="s">
        <v>21</v>
      </c>
      <c r="I24" s="4" t="s">
        <v>21</v>
      </c>
      <c r="J24" s="4" t="s">
        <v>21</v>
      </c>
      <c r="K24" s="7">
        <f t="shared" si="4"/>
        <v>22829.568050713151</v>
      </c>
      <c r="L24" s="2">
        <v>21468.639999999999</v>
      </c>
      <c r="M24" s="2">
        <v>16483.330000000002</v>
      </c>
      <c r="N24" s="2">
        <f t="shared" si="0"/>
        <v>992.58991524839792</v>
      </c>
      <c r="O24" s="2">
        <f t="shared" si="1"/>
        <v>3804.928008452192</v>
      </c>
    </row>
    <row r="25" spans="1:15" x14ac:dyDescent="0.35">
      <c r="A25" s="5">
        <v>4449222</v>
      </c>
      <c r="B25" s="1">
        <v>7</v>
      </c>
      <c r="C25" s="6">
        <v>44855</v>
      </c>
      <c r="D25" s="4">
        <v>9</v>
      </c>
      <c r="E25" s="4">
        <f t="shared" si="3"/>
        <v>35</v>
      </c>
      <c r="F25">
        <f>5*28+42+3*21</f>
        <v>245</v>
      </c>
      <c r="G25" s="4"/>
      <c r="H25" s="4" t="s">
        <v>21</v>
      </c>
      <c r="I25" s="4" t="s">
        <v>21</v>
      </c>
      <c r="J25" s="4" t="s">
        <v>21</v>
      </c>
      <c r="K25" s="7">
        <f t="shared" si="4"/>
        <v>7673.9218066561007</v>
      </c>
      <c r="L25" s="2">
        <v>7216.46</v>
      </c>
      <c r="M25" s="2">
        <v>794</v>
      </c>
      <c r="N25" s="2">
        <f t="shared" si="0"/>
        <v>219.25490876160288</v>
      </c>
      <c r="O25" s="2">
        <f t="shared" si="1"/>
        <v>852.65797851734453</v>
      </c>
    </row>
  </sheetData>
  <sortState xmlns:xlrd2="http://schemas.microsoft.com/office/spreadsheetml/2017/richdata2" ref="A2:O25">
    <sortCondition ref="C2:C25"/>
  </sortState>
  <dataValidations count="1">
    <dataValidation type="list" allowBlank="1" showInputMessage="1" showErrorMessage="1" sqref="I2:J25 H2:H25" xr:uid="{052A29C2-9B32-4051-82F1-F1EC140628B3}">
      <formula1>"Yes, No"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22CA2-A676-4F45-9ADE-D92D158C85A8}">
  <dimension ref="A1:L103"/>
  <sheetViews>
    <sheetView zoomScaleNormal="100" workbookViewId="0">
      <selection activeCell="G6" sqref="G6"/>
    </sheetView>
  </sheetViews>
  <sheetFormatPr defaultColWidth="10.26953125" defaultRowHeight="14.5" x14ac:dyDescent="0.35"/>
  <cols>
    <col min="1" max="1" width="11.7265625" style="4" customWidth="1"/>
    <col min="2" max="2" width="17.7265625" customWidth="1"/>
    <col min="3" max="3" width="13" style="4" bestFit="1" customWidth="1"/>
    <col min="4" max="4" width="23.54296875" style="4" bestFit="1" customWidth="1"/>
    <col min="5" max="5" width="5.1796875" bestFit="1" customWidth="1"/>
    <col min="6" max="6" width="17.26953125" style="4" bestFit="1" customWidth="1"/>
    <col min="7" max="7" width="17.7265625" style="4" bestFit="1" customWidth="1"/>
    <col min="8" max="8" width="16.453125" style="4" bestFit="1" customWidth="1"/>
    <col min="9" max="9" width="31.81640625" style="17" customWidth="1"/>
    <col min="10" max="10" width="9.1796875" style="14" customWidth="1"/>
    <col min="11" max="11" width="24.54296875" style="19" bestFit="1" customWidth="1"/>
    <col min="12" max="12" width="22.7265625" style="2" bestFit="1" customWidth="1"/>
    <col min="13" max="13" width="31" customWidth="1"/>
  </cols>
  <sheetData>
    <row r="1" spans="1:12" s="11" customFormat="1" x14ac:dyDescent="0.35">
      <c r="A1" s="10" t="s">
        <v>6</v>
      </c>
      <c r="B1" s="11" t="s">
        <v>7</v>
      </c>
      <c r="C1" s="10" t="s">
        <v>8</v>
      </c>
      <c r="D1" s="10" t="s">
        <v>9</v>
      </c>
      <c r="E1" s="11" t="s">
        <v>11</v>
      </c>
      <c r="F1" s="10" t="s">
        <v>32</v>
      </c>
      <c r="G1" s="10" t="s">
        <v>13</v>
      </c>
      <c r="H1" s="10" t="s">
        <v>14</v>
      </c>
      <c r="I1" s="16" t="s">
        <v>15</v>
      </c>
      <c r="J1" s="13" t="s">
        <v>16</v>
      </c>
      <c r="K1" s="18" t="s">
        <v>31</v>
      </c>
      <c r="L1" s="12" t="s">
        <v>19</v>
      </c>
    </row>
    <row r="2" spans="1:12" x14ac:dyDescent="0.35">
      <c r="A2" s="4">
        <v>4288257</v>
      </c>
      <c r="B2" t="s">
        <v>22</v>
      </c>
      <c r="C2" s="6">
        <v>44651</v>
      </c>
      <c r="D2" s="4">
        <v>1</v>
      </c>
      <c r="E2">
        <v>45</v>
      </c>
      <c r="F2" s="4">
        <v>3</v>
      </c>
      <c r="G2" s="4" t="s">
        <v>21</v>
      </c>
      <c r="H2" s="4" t="s">
        <v>21</v>
      </c>
      <c r="I2" s="17">
        <f>J2*134.2/117.1</f>
        <v>3244.9239111870197</v>
      </c>
      <c r="J2" s="14">
        <f>2705.45+126</f>
        <v>2831.45</v>
      </c>
      <c r="K2" s="19">
        <v>126</v>
      </c>
      <c r="L2" s="2">
        <f>I2/D2</f>
        <v>3244.9239111870197</v>
      </c>
    </row>
    <row r="3" spans="1:12" x14ac:dyDescent="0.35">
      <c r="A3" s="4">
        <v>4296250</v>
      </c>
      <c r="B3" t="s">
        <v>22</v>
      </c>
      <c r="C3" s="6">
        <v>44652</v>
      </c>
      <c r="D3" s="4">
        <v>1</v>
      </c>
      <c r="E3">
        <v>45</v>
      </c>
      <c r="F3" s="4">
        <v>3</v>
      </c>
      <c r="G3" s="4" t="s">
        <v>21</v>
      </c>
      <c r="H3" s="4" t="s">
        <v>21</v>
      </c>
      <c r="I3" s="17">
        <f>J3*134.2/120</f>
        <v>5191.8513166666662</v>
      </c>
      <c r="J3" s="14">
        <f>126+4516.49</f>
        <v>4642.49</v>
      </c>
      <c r="K3" s="19">
        <v>4516.49</v>
      </c>
      <c r="L3" s="2">
        <f>I3/D3</f>
        <v>5191.8513166666662</v>
      </c>
    </row>
    <row r="4" spans="1:12" x14ac:dyDescent="0.35">
      <c r="A4" s="4">
        <v>4296504</v>
      </c>
      <c r="B4" t="s">
        <v>23</v>
      </c>
      <c r="C4" s="6">
        <v>44652</v>
      </c>
      <c r="D4" s="4">
        <v>1</v>
      </c>
      <c r="E4">
        <v>45</v>
      </c>
      <c r="F4" s="4">
        <v>3</v>
      </c>
      <c r="G4" s="4" t="s">
        <v>21</v>
      </c>
      <c r="H4" s="4" t="s">
        <v>21</v>
      </c>
      <c r="I4" s="17">
        <f t="shared" ref="I4:I9" si="0">J4*134.2/120</f>
        <v>4248.9285666666665</v>
      </c>
      <c r="J4" s="14">
        <f>3662.34+137</f>
        <v>3799.34</v>
      </c>
      <c r="K4" s="19">
        <v>137</v>
      </c>
      <c r="L4" s="2">
        <f>I4/D4</f>
        <v>4248.9285666666665</v>
      </c>
    </row>
    <row r="5" spans="1:12" x14ac:dyDescent="0.35">
      <c r="A5" s="4">
        <v>4288309</v>
      </c>
      <c r="B5" t="s">
        <v>24</v>
      </c>
      <c r="C5" s="6">
        <v>44656</v>
      </c>
      <c r="D5" s="4">
        <v>1</v>
      </c>
      <c r="E5">
        <v>49</v>
      </c>
      <c r="F5" s="4">
        <v>3</v>
      </c>
      <c r="G5" s="4" t="s">
        <v>21</v>
      </c>
      <c r="H5" s="4" t="s">
        <v>21</v>
      </c>
      <c r="I5" s="17">
        <f t="shared" si="0"/>
        <v>11218.482549999999</v>
      </c>
      <c r="J5" s="14">
        <f>8645.43+1386</f>
        <v>10031.43</v>
      </c>
      <c r="K5" s="19">
        <v>1386</v>
      </c>
      <c r="L5" s="2">
        <f>I5/D5</f>
        <v>11218.482549999999</v>
      </c>
    </row>
    <row r="6" spans="1:12" x14ac:dyDescent="0.35">
      <c r="A6" s="4">
        <v>4289810</v>
      </c>
      <c r="B6" t="s">
        <v>24</v>
      </c>
      <c r="C6" s="6">
        <v>44658</v>
      </c>
      <c r="D6" s="4">
        <v>1</v>
      </c>
      <c r="E6">
        <v>49</v>
      </c>
      <c r="F6" s="4">
        <v>3</v>
      </c>
      <c r="G6" s="4" t="s">
        <v>21</v>
      </c>
      <c r="H6" s="4" t="s">
        <v>20</v>
      </c>
      <c r="I6" s="17">
        <f t="shared" si="0"/>
        <v>23853.59148333333</v>
      </c>
      <c r="J6" s="14">
        <v>21329.59</v>
      </c>
      <c r="K6" s="19">
        <v>9237.59</v>
      </c>
      <c r="L6" s="2">
        <f>I6/D6</f>
        <v>23853.59148333333</v>
      </c>
    </row>
    <row r="7" spans="1:12" x14ac:dyDescent="0.35">
      <c r="A7" s="4">
        <v>4280294</v>
      </c>
      <c r="B7" t="s">
        <v>25</v>
      </c>
      <c r="C7" s="6">
        <v>44659</v>
      </c>
      <c r="D7" s="4">
        <v>1</v>
      </c>
      <c r="E7">
        <v>45</v>
      </c>
      <c r="F7" s="4">
        <v>3</v>
      </c>
      <c r="G7" s="4" t="s">
        <v>21</v>
      </c>
      <c r="H7" s="4" t="s">
        <v>21</v>
      </c>
      <c r="I7" s="17">
        <f t="shared" si="0"/>
        <v>13966.853816666666</v>
      </c>
      <c r="J7" s="14">
        <v>12488.99</v>
      </c>
      <c r="K7" s="19">
        <v>192</v>
      </c>
      <c r="L7" s="2">
        <f>I7/D7</f>
        <v>13966.853816666666</v>
      </c>
    </row>
    <row r="8" spans="1:12" x14ac:dyDescent="0.35">
      <c r="A8" s="4">
        <v>4296235</v>
      </c>
      <c r="B8" t="s">
        <v>26</v>
      </c>
      <c r="C8" s="6">
        <v>44664</v>
      </c>
      <c r="D8" s="4">
        <v>1</v>
      </c>
      <c r="E8">
        <v>45</v>
      </c>
      <c r="F8" s="4">
        <v>3</v>
      </c>
      <c r="G8" s="4" t="s">
        <v>21</v>
      </c>
      <c r="H8" s="4" t="s">
        <v>21</v>
      </c>
      <c r="I8" s="17">
        <f t="shared" si="0"/>
        <v>2637.0970999999995</v>
      </c>
      <c r="J8" s="14">
        <f>2226.06+132</f>
        <v>2358.06</v>
      </c>
      <c r="K8" s="19">
        <v>132</v>
      </c>
      <c r="L8" s="2">
        <f>I8/D8</f>
        <v>2637.0970999999995</v>
      </c>
    </row>
    <row r="9" spans="1:12" x14ac:dyDescent="0.35">
      <c r="A9" s="4">
        <v>4314140</v>
      </c>
      <c r="B9" t="s">
        <v>26</v>
      </c>
      <c r="C9" s="6">
        <v>44670</v>
      </c>
      <c r="D9" s="4">
        <v>1</v>
      </c>
      <c r="E9">
        <v>45</v>
      </c>
      <c r="F9" s="4">
        <v>3</v>
      </c>
      <c r="G9" s="4" t="s">
        <v>21</v>
      </c>
      <c r="H9" s="4" t="s">
        <v>21</v>
      </c>
      <c r="I9" s="17">
        <f t="shared" si="0"/>
        <v>5587.2380666666668</v>
      </c>
      <c r="J9" s="14">
        <f>4864.04+132</f>
        <v>4996.04</v>
      </c>
      <c r="K9" s="19">
        <v>132</v>
      </c>
      <c r="L9" s="2">
        <f>I9/D9</f>
        <v>5587.2380666666668</v>
      </c>
    </row>
    <row r="10" spans="1:12" x14ac:dyDescent="0.35">
      <c r="A10" s="4">
        <v>4385692</v>
      </c>
      <c r="B10" t="s">
        <v>22</v>
      </c>
      <c r="C10" s="6">
        <v>44740</v>
      </c>
      <c r="D10" s="4">
        <v>1</v>
      </c>
      <c r="E10">
        <v>55</v>
      </c>
      <c r="F10" s="4">
        <v>3</v>
      </c>
      <c r="G10" s="4" t="s">
        <v>21</v>
      </c>
      <c r="H10" s="4" t="s">
        <v>21</v>
      </c>
      <c r="I10" s="17">
        <f>J10*134.2/121.8</f>
        <v>26652.725993431854</v>
      </c>
      <c r="J10" s="14">
        <v>24190.03</v>
      </c>
      <c r="K10" s="19">
        <v>841.01</v>
      </c>
      <c r="L10" s="2">
        <f>I10/D10</f>
        <v>26652.725993431854</v>
      </c>
    </row>
    <row r="11" spans="1:12" x14ac:dyDescent="0.35">
      <c r="A11" s="4">
        <v>4426998</v>
      </c>
      <c r="B11" t="s">
        <v>26</v>
      </c>
      <c r="C11" s="6">
        <v>44781</v>
      </c>
      <c r="D11" s="4">
        <v>1</v>
      </c>
      <c r="E11">
        <v>45</v>
      </c>
      <c r="F11" s="4">
        <v>3</v>
      </c>
      <c r="G11" s="4" t="s">
        <v>21</v>
      </c>
      <c r="H11" s="4" t="s">
        <v>21</v>
      </c>
      <c r="I11" s="17">
        <f>J11*134.2/123.1</f>
        <v>4169.4555483346876</v>
      </c>
      <c r="J11" s="14">
        <f>3277.59+547</f>
        <v>3824.59</v>
      </c>
      <c r="K11" s="19">
        <v>547</v>
      </c>
      <c r="L11" s="2">
        <f>I11/D11</f>
        <v>4169.4555483346876</v>
      </c>
    </row>
    <row r="12" spans="1:12" x14ac:dyDescent="0.35">
      <c r="A12" s="4">
        <v>4470504</v>
      </c>
      <c r="B12" t="s">
        <v>22</v>
      </c>
      <c r="C12" s="6">
        <v>44824</v>
      </c>
      <c r="D12" s="4">
        <v>1</v>
      </c>
      <c r="E12">
        <v>55</v>
      </c>
      <c r="F12" s="4">
        <v>3</v>
      </c>
      <c r="G12" s="4" t="s">
        <v>21</v>
      </c>
      <c r="H12" s="4" t="s">
        <v>21</v>
      </c>
      <c r="I12" s="17">
        <f>J12*134.2/123.8</f>
        <v>4242.8012924071081</v>
      </c>
      <c r="J12" s="14">
        <f>3768+146</f>
        <v>3914</v>
      </c>
      <c r="K12" s="19">
        <v>146</v>
      </c>
      <c r="L12" s="2">
        <f>I12/D12</f>
        <v>4242.8012924071081</v>
      </c>
    </row>
    <row r="13" spans="1:12" x14ac:dyDescent="0.35">
      <c r="A13" s="4">
        <v>4452363</v>
      </c>
      <c r="B13" t="s">
        <v>24</v>
      </c>
      <c r="C13" s="6">
        <v>44825</v>
      </c>
      <c r="D13" s="4">
        <v>1</v>
      </c>
      <c r="E13">
        <v>55</v>
      </c>
      <c r="F13" s="4">
        <v>3</v>
      </c>
      <c r="G13" s="4" t="s">
        <v>21</v>
      </c>
      <c r="H13" s="4" t="s">
        <v>21</v>
      </c>
      <c r="I13" s="17">
        <f t="shared" ref="I13:I14" si="1">J13*134.2/123.8</f>
        <v>10381.735848142165</v>
      </c>
      <c r="J13" s="14">
        <f>9444.19+133</f>
        <v>9577.19</v>
      </c>
      <c r="K13" s="19">
        <v>133</v>
      </c>
      <c r="L13" s="2">
        <f>I13/D13</f>
        <v>10381.735848142165</v>
      </c>
    </row>
    <row r="14" spans="1:12" x14ac:dyDescent="0.35">
      <c r="A14" s="4">
        <v>4460992</v>
      </c>
      <c r="B14" t="s">
        <v>22</v>
      </c>
      <c r="C14" s="6">
        <v>44833</v>
      </c>
      <c r="D14" s="4">
        <v>1</v>
      </c>
      <c r="E14">
        <v>45</v>
      </c>
      <c r="F14" s="4">
        <v>3</v>
      </c>
      <c r="G14" s="4" t="s">
        <v>21</v>
      </c>
      <c r="H14" s="4" t="s">
        <v>21</v>
      </c>
      <c r="I14" s="17">
        <f t="shared" si="1"/>
        <v>1319.799547657512</v>
      </c>
      <c r="J14" s="14">
        <f>998.52+219</f>
        <v>1217.52</v>
      </c>
      <c r="K14" s="19">
        <v>219</v>
      </c>
      <c r="L14" s="2">
        <f>I14/D14</f>
        <v>1319.799547657512</v>
      </c>
    </row>
    <row r="15" spans="1:12" x14ac:dyDescent="0.35">
      <c r="A15" s="4">
        <v>4469884</v>
      </c>
      <c r="B15" t="s">
        <v>24</v>
      </c>
      <c r="C15" s="6">
        <v>44854</v>
      </c>
      <c r="D15" s="4">
        <v>1</v>
      </c>
      <c r="E15">
        <v>45</v>
      </c>
      <c r="F15" s="4">
        <v>3</v>
      </c>
      <c r="G15" s="4" t="s">
        <v>21</v>
      </c>
      <c r="H15" s="4" t="s">
        <v>21</v>
      </c>
      <c r="I15" s="17">
        <f>J15*134.2/126.2</f>
        <v>29198.963771790804</v>
      </c>
      <c r="J15" s="14">
        <v>27458.34</v>
      </c>
      <c r="K15" s="19">
        <v>587</v>
      </c>
      <c r="L15" s="2">
        <f>I15/D15</f>
        <v>29198.963771790804</v>
      </c>
    </row>
    <row r="16" spans="1:12" x14ac:dyDescent="0.35">
      <c r="A16" s="4">
        <v>4494227</v>
      </c>
      <c r="B16" t="s">
        <v>26</v>
      </c>
      <c r="C16" s="6">
        <v>44855</v>
      </c>
      <c r="D16" s="4">
        <v>1</v>
      </c>
      <c r="E16">
        <v>45</v>
      </c>
      <c r="F16" s="4">
        <v>3</v>
      </c>
      <c r="G16" s="4" t="s">
        <v>21</v>
      </c>
      <c r="H16" s="4" t="s">
        <v>21</v>
      </c>
      <c r="I16" s="17">
        <f t="shared" ref="I16" si="2">J16*134.2/126.2</f>
        <v>28255.086893819331</v>
      </c>
      <c r="J16" s="14">
        <f>26023.73+547</f>
        <v>26570.73</v>
      </c>
      <c r="K16" s="19">
        <v>547</v>
      </c>
      <c r="L16" s="2">
        <f>I16/D16</f>
        <v>28255.086893819331</v>
      </c>
    </row>
    <row r="17" spans="1:12" x14ac:dyDescent="0.35">
      <c r="A17" s="4">
        <v>4552190</v>
      </c>
      <c r="B17" t="s">
        <v>22</v>
      </c>
      <c r="C17" s="6">
        <v>44893</v>
      </c>
      <c r="D17" s="4">
        <v>1</v>
      </c>
      <c r="E17">
        <v>45</v>
      </c>
      <c r="G17" s="4" t="s">
        <v>21</v>
      </c>
      <c r="H17" s="4" t="s">
        <v>21</v>
      </c>
      <c r="I17" s="17">
        <f>J17*134.2/126.7</f>
        <v>2805.1507182320438</v>
      </c>
      <c r="J17" s="14">
        <f>1520.28+1128.1</f>
        <v>2648.38</v>
      </c>
      <c r="K17" s="19">
        <v>1128.0999999999999</v>
      </c>
      <c r="L17" s="2">
        <f>I17/D17</f>
        <v>2805.1507182320438</v>
      </c>
    </row>
    <row r="18" spans="1:12" x14ac:dyDescent="0.35">
      <c r="A18" s="4">
        <v>4552583</v>
      </c>
      <c r="B18" t="s">
        <v>26</v>
      </c>
      <c r="C18" s="6">
        <v>44896</v>
      </c>
      <c r="D18" s="4">
        <v>1</v>
      </c>
      <c r="E18">
        <v>55</v>
      </c>
      <c r="F18" s="4">
        <v>3</v>
      </c>
      <c r="G18" s="4" t="s">
        <v>21</v>
      </c>
      <c r="H18" s="4" t="s">
        <v>21</v>
      </c>
      <c r="I18" s="17">
        <f t="shared" ref="I18" si="3">J18*134.2/127.2</f>
        <v>8149.6642610062881</v>
      </c>
      <c r="J18" s="14">
        <f>7591.57+133</f>
        <v>7724.57</v>
      </c>
      <c r="K18" s="19">
        <v>133</v>
      </c>
      <c r="L18" s="2">
        <f>I18/D18</f>
        <v>8149.6642610062881</v>
      </c>
    </row>
    <row r="19" spans="1:12" x14ac:dyDescent="0.35">
      <c r="A19" s="4">
        <v>4590791</v>
      </c>
      <c r="B19" t="s">
        <v>27</v>
      </c>
      <c r="C19" s="6">
        <v>44938</v>
      </c>
      <c r="D19" s="4">
        <v>1</v>
      </c>
      <c r="E19">
        <v>45</v>
      </c>
      <c r="F19" s="4">
        <v>3</v>
      </c>
      <c r="G19" s="4" t="s">
        <v>21</v>
      </c>
      <c r="H19" s="4" t="s">
        <v>21</v>
      </c>
      <c r="I19" s="17">
        <f t="shared" ref="I19:I22" si="4">J19*134.2/126.4</f>
        <v>3047.3910917721514</v>
      </c>
      <c r="J19" s="14">
        <f>2737.27+133</f>
        <v>2870.27</v>
      </c>
      <c r="K19" s="19">
        <v>133</v>
      </c>
      <c r="L19" s="2">
        <f>I19/D19</f>
        <v>3047.3910917721514</v>
      </c>
    </row>
    <row r="20" spans="1:12" x14ac:dyDescent="0.35">
      <c r="A20" s="4">
        <v>4599663</v>
      </c>
      <c r="B20" t="s">
        <v>26</v>
      </c>
      <c r="C20" s="6">
        <v>44944</v>
      </c>
      <c r="D20" s="4">
        <v>1</v>
      </c>
      <c r="E20">
        <v>45</v>
      </c>
      <c r="F20" s="4">
        <v>3</v>
      </c>
      <c r="G20" s="4" t="s">
        <v>21</v>
      </c>
      <c r="H20" s="4" t="s">
        <v>21</v>
      </c>
      <c r="I20" s="17">
        <f t="shared" si="4"/>
        <v>10346.236060126581</v>
      </c>
      <c r="J20" s="14">
        <v>9744.89</v>
      </c>
      <c r="K20" s="19">
        <v>587</v>
      </c>
      <c r="L20" s="2">
        <f>I20/D20</f>
        <v>10346.236060126581</v>
      </c>
    </row>
    <row r="21" spans="1:12" x14ac:dyDescent="0.35">
      <c r="A21" s="4">
        <v>4605656</v>
      </c>
      <c r="B21" t="s">
        <v>22</v>
      </c>
      <c r="C21" s="6">
        <v>44950</v>
      </c>
      <c r="D21" s="4">
        <v>1</v>
      </c>
      <c r="E21">
        <v>45</v>
      </c>
      <c r="F21" s="4">
        <v>3</v>
      </c>
      <c r="G21" s="4" t="s">
        <v>21</v>
      </c>
      <c r="H21" s="4" t="s">
        <v>21</v>
      </c>
      <c r="I21" s="17">
        <f t="shared" si="4"/>
        <v>19266.873164556957</v>
      </c>
      <c r="J21" s="14">
        <v>18147.04</v>
      </c>
      <c r="K21" s="19">
        <v>1558.63</v>
      </c>
      <c r="L21" s="2">
        <f>I21/D21</f>
        <v>19266.873164556957</v>
      </c>
    </row>
    <row r="22" spans="1:12" x14ac:dyDescent="0.35">
      <c r="A22" s="4">
        <v>4609511</v>
      </c>
      <c r="B22" t="s">
        <v>22</v>
      </c>
      <c r="C22" s="6">
        <v>44953</v>
      </c>
      <c r="D22" s="4">
        <v>1</v>
      </c>
      <c r="E22">
        <v>45</v>
      </c>
      <c r="F22" s="4">
        <v>3</v>
      </c>
      <c r="G22" s="4" t="s">
        <v>21</v>
      </c>
      <c r="H22" s="4" t="s">
        <v>21</v>
      </c>
      <c r="I22" s="17">
        <f t="shared" si="4"/>
        <v>11680.474968354429</v>
      </c>
      <c r="J22" s="14">
        <f>10856.58+145</f>
        <v>11001.58</v>
      </c>
      <c r="K22" s="19">
        <v>145</v>
      </c>
      <c r="L22" s="2">
        <f>I22/D22</f>
        <v>11680.474968354429</v>
      </c>
    </row>
    <row r="23" spans="1:12" x14ac:dyDescent="0.35">
      <c r="A23" s="4">
        <v>4614034</v>
      </c>
      <c r="B23" t="s">
        <v>26</v>
      </c>
      <c r="C23" s="6">
        <v>44958</v>
      </c>
      <c r="D23" s="4">
        <v>1</v>
      </c>
      <c r="E23">
        <v>18</v>
      </c>
      <c r="F23" s="4">
        <v>1</v>
      </c>
      <c r="G23" s="4" t="s">
        <v>21</v>
      </c>
      <c r="H23" s="4" t="s">
        <v>21</v>
      </c>
      <c r="I23" s="17">
        <f t="shared" ref="I23:I49" si="5">J23*134.2/127.9</f>
        <v>5577.9668647380759</v>
      </c>
      <c r="J23" s="14">
        <f>5171.11+145</f>
        <v>5316.11</v>
      </c>
      <c r="K23" s="19">
        <v>145</v>
      </c>
      <c r="L23" s="2">
        <f>I23/D23</f>
        <v>5577.9668647380759</v>
      </c>
    </row>
    <row r="24" spans="1:12" x14ac:dyDescent="0.35">
      <c r="A24" s="4">
        <v>4624607</v>
      </c>
      <c r="B24" t="s">
        <v>27</v>
      </c>
      <c r="C24" s="6">
        <v>44965</v>
      </c>
      <c r="D24" s="4">
        <v>1</v>
      </c>
      <c r="E24">
        <v>45</v>
      </c>
      <c r="F24" s="4">
        <v>3</v>
      </c>
      <c r="G24" s="4" t="s">
        <v>21</v>
      </c>
      <c r="H24" s="4" t="s">
        <v>21</v>
      </c>
      <c r="I24" s="17">
        <f t="shared" si="5"/>
        <v>5492.7356997654415</v>
      </c>
      <c r="J24" s="14">
        <f>4185.88+1049</f>
        <v>5234.88</v>
      </c>
      <c r="K24" s="19">
        <v>1049</v>
      </c>
      <c r="L24" s="2">
        <f>I24/D24</f>
        <v>5492.7356997654415</v>
      </c>
    </row>
    <row r="25" spans="1:12" x14ac:dyDescent="0.35">
      <c r="A25" s="4">
        <v>4624601</v>
      </c>
      <c r="B25" t="s">
        <v>27</v>
      </c>
      <c r="C25" s="6">
        <v>44965</v>
      </c>
      <c r="D25" s="4">
        <v>1</v>
      </c>
      <c r="E25">
        <v>45</v>
      </c>
      <c r="F25" s="4">
        <v>3</v>
      </c>
      <c r="G25" s="4" t="s">
        <v>21</v>
      </c>
      <c r="H25" s="4" t="s">
        <v>21</v>
      </c>
      <c r="I25" s="17">
        <f t="shared" si="5"/>
        <v>3842.8206724003121</v>
      </c>
      <c r="J25" s="14">
        <f>3517.42+145</f>
        <v>3662.42</v>
      </c>
      <c r="K25" s="19">
        <v>145</v>
      </c>
      <c r="L25" s="2">
        <f>I25/D25</f>
        <v>3842.8206724003121</v>
      </c>
    </row>
    <row r="26" spans="1:12" x14ac:dyDescent="0.35">
      <c r="A26" s="4">
        <v>4624599</v>
      </c>
      <c r="B26" t="s">
        <v>27</v>
      </c>
      <c r="C26" s="6">
        <v>44966</v>
      </c>
      <c r="D26" s="4">
        <v>1</v>
      </c>
      <c r="E26">
        <v>45</v>
      </c>
      <c r="F26" s="4">
        <v>3</v>
      </c>
      <c r="G26" s="4" t="s">
        <v>21</v>
      </c>
      <c r="H26" s="4" t="s">
        <v>21</v>
      </c>
      <c r="I26" s="17">
        <f t="shared" si="5"/>
        <v>8545.3397654417513</v>
      </c>
      <c r="J26" s="14">
        <f>7095.18+1049</f>
        <v>8144.18</v>
      </c>
      <c r="K26" s="19">
        <v>1049</v>
      </c>
      <c r="L26" s="2">
        <f>I26/D26</f>
        <v>8545.3397654417513</v>
      </c>
    </row>
    <row r="27" spans="1:12" x14ac:dyDescent="0.35">
      <c r="A27" s="4">
        <v>4624989</v>
      </c>
      <c r="B27" t="s">
        <v>22</v>
      </c>
      <c r="C27" s="6">
        <v>44967</v>
      </c>
      <c r="D27" s="4">
        <v>1</v>
      </c>
      <c r="E27">
        <v>55</v>
      </c>
      <c r="F27" s="4">
        <v>3</v>
      </c>
      <c r="G27" s="4" t="s">
        <v>21</v>
      </c>
      <c r="H27" s="4" t="s">
        <v>21</v>
      </c>
      <c r="I27" s="17">
        <f t="shared" si="5"/>
        <v>3522.6083502736506</v>
      </c>
      <c r="J27" s="14">
        <f>2003.47+1353.77</f>
        <v>3357.24</v>
      </c>
      <c r="K27" s="19">
        <v>1353.77</v>
      </c>
      <c r="L27" s="2">
        <f>I27/D27</f>
        <v>3522.6083502736506</v>
      </c>
    </row>
    <row r="28" spans="1:12" x14ac:dyDescent="0.35">
      <c r="A28" s="4">
        <v>4624427</v>
      </c>
      <c r="B28" t="s">
        <v>27</v>
      </c>
      <c r="C28" s="6">
        <v>44970</v>
      </c>
      <c r="D28" s="4">
        <v>1</v>
      </c>
      <c r="E28">
        <v>22</v>
      </c>
      <c r="F28" s="4">
        <v>3</v>
      </c>
      <c r="G28" s="4" t="s">
        <v>21</v>
      </c>
      <c r="H28" s="4" t="s">
        <v>21</v>
      </c>
      <c r="I28" s="17">
        <f t="shared" si="5"/>
        <v>17095.306755277557</v>
      </c>
      <c r="J28" s="14">
        <f>16292.77</f>
        <v>16292.77</v>
      </c>
      <c r="K28" s="19">
        <v>1543</v>
      </c>
      <c r="L28" s="2">
        <f>I28/D28</f>
        <v>17095.306755277557</v>
      </c>
    </row>
    <row r="29" spans="1:12" x14ac:dyDescent="0.35">
      <c r="A29" s="4">
        <v>4627505</v>
      </c>
      <c r="B29" t="s">
        <v>28</v>
      </c>
      <c r="C29" s="6">
        <v>44970</v>
      </c>
      <c r="D29" s="4">
        <v>1</v>
      </c>
      <c r="E29">
        <v>15</v>
      </c>
      <c r="F29" s="4">
        <v>1</v>
      </c>
      <c r="G29" s="4" t="s">
        <v>21</v>
      </c>
      <c r="H29" s="4" t="s">
        <v>21</v>
      </c>
      <c r="I29" s="17">
        <f t="shared" si="5"/>
        <v>7722.6381548084428</v>
      </c>
      <c r="J29" s="14">
        <v>7360.1</v>
      </c>
      <c r="K29" s="19">
        <v>290</v>
      </c>
      <c r="L29" s="2">
        <f>I29/D29</f>
        <v>7722.6381548084428</v>
      </c>
    </row>
    <row r="30" spans="1:12" x14ac:dyDescent="0.35">
      <c r="A30" s="4">
        <v>4629246</v>
      </c>
      <c r="B30" t="s">
        <v>22</v>
      </c>
      <c r="C30" s="6">
        <v>44970</v>
      </c>
      <c r="D30" s="4">
        <v>1</v>
      </c>
      <c r="E30">
        <v>55</v>
      </c>
      <c r="F30" s="4">
        <v>3</v>
      </c>
      <c r="G30" s="4" t="s">
        <v>21</v>
      </c>
      <c r="H30" s="4" t="s">
        <v>21</v>
      </c>
      <c r="I30" s="17">
        <f t="shared" si="5"/>
        <v>2749.9563096168881</v>
      </c>
      <c r="J30" s="14">
        <f>2475.86+145</f>
        <v>2620.86</v>
      </c>
      <c r="K30" s="19">
        <v>145</v>
      </c>
      <c r="L30" s="2">
        <f>I30/D30</f>
        <v>2749.9563096168881</v>
      </c>
    </row>
    <row r="31" spans="1:12" x14ac:dyDescent="0.35">
      <c r="A31" s="4">
        <v>4623730</v>
      </c>
      <c r="B31" t="s">
        <v>22</v>
      </c>
      <c r="C31" s="6">
        <v>44970</v>
      </c>
      <c r="D31" s="4">
        <v>1</v>
      </c>
      <c r="E31">
        <v>55</v>
      </c>
      <c r="F31" s="4">
        <v>3</v>
      </c>
      <c r="G31" s="4" t="s">
        <v>21</v>
      </c>
      <c r="H31" s="4" t="s">
        <v>21</v>
      </c>
      <c r="I31" s="17">
        <f t="shared" si="5"/>
        <v>9937.8405160281472</v>
      </c>
      <c r="J31" s="14">
        <f>5306+4165.31</f>
        <v>9471.3100000000013</v>
      </c>
      <c r="K31" s="19">
        <v>4165.3100000000004</v>
      </c>
      <c r="L31" s="2">
        <f>I31/D31</f>
        <v>9937.8405160281472</v>
      </c>
    </row>
    <row r="32" spans="1:12" x14ac:dyDescent="0.35">
      <c r="A32" s="4">
        <v>4632393</v>
      </c>
      <c r="B32" t="s">
        <v>22</v>
      </c>
      <c r="C32" s="6">
        <v>44972</v>
      </c>
      <c r="D32" s="4">
        <v>1</v>
      </c>
      <c r="E32">
        <v>55</v>
      </c>
      <c r="F32" s="4">
        <v>3</v>
      </c>
      <c r="G32" s="4" t="s">
        <v>21</v>
      </c>
      <c r="H32" s="4" t="s">
        <v>21</v>
      </c>
      <c r="I32" s="17">
        <f t="shared" si="5"/>
        <v>4398.1610476935111</v>
      </c>
      <c r="J32" s="14">
        <f>4046.69+145</f>
        <v>4191.6900000000005</v>
      </c>
      <c r="K32" s="19">
        <v>145</v>
      </c>
      <c r="L32" s="2">
        <f>I32/D32</f>
        <v>4398.1610476935111</v>
      </c>
    </row>
    <row r="33" spans="1:12" x14ac:dyDescent="0.35">
      <c r="A33" s="4">
        <v>4623931</v>
      </c>
      <c r="B33" t="s">
        <v>29</v>
      </c>
      <c r="C33" s="6">
        <v>44972</v>
      </c>
      <c r="D33" s="4">
        <v>1</v>
      </c>
      <c r="E33">
        <v>45</v>
      </c>
      <c r="F33" s="4">
        <v>3</v>
      </c>
      <c r="G33" s="4" t="s">
        <v>21</v>
      </c>
      <c r="H33" s="4" t="s">
        <v>21</v>
      </c>
      <c r="I33" s="17">
        <f t="shared" si="5"/>
        <v>8536.0118686473797</v>
      </c>
      <c r="J33" s="14">
        <f>7689.29+446</f>
        <v>8135.29</v>
      </c>
      <c r="K33" s="19">
        <v>446</v>
      </c>
      <c r="L33" s="2">
        <f>I33/D33</f>
        <v>8536.0118686473797</v>
      </c>
    </row>
    <row r="34" spans="1:12" x14ac:dyDescent="0.35">
      <c r="A34" s="4">
        <v>4593949</v>
      </c>
      <c r="B34" t="s">
        <v>24</v>
      </c>
      <c r="C34" s="6">
        <v>44973</v>
      </c>
      <c r="D34" s="4">
        <v>1</v>
      </c>
      <c r="E34">
        <v>55</v>
      </c>
      <c r="F34" s="4">
        <v>3</v>
      </c>
      <c r="G34" s="4" t="s">
        <v>21</v>
      </c>
      <c r="H34" s="4" t="s">
        <v>21</v>
      </c>
      <c r="I34" s="17">
        <f t="shared" si="5"/>
        <v>11880.141563721656</v>
      </c>
      <c r="J34" s="14">
        <v>11322.43</v>
      </c>
      <c r="K34" s="19">
        <v>639</v>
      </c>
      <c r="L34" s="2">
        <f>I34/D34</f>
        <v>11880.141563721656</v>
      </c>
    </row>
    <row r="35" spans="1:12" x14ac:dyDescent="0.35">
      <c r="A35" s="4">
        <v>4623710</v>
      </c>
      <c r="B35" t="s">
        <v>29</v>
      </c>
      <c r="C35" s="6">
        <v>44973</v>
      </c>
      <c r="D35" s="4">
        <v>1</v>
      </c>
      <c r="E35">
        <v>55</v>
      </c>
      <c r="F35" s="4">
        <v>3</v>
      </c>
      <c r="G35" s="4" t="s">
        <v>21</v>
      </c>
      <c r="H35" s="4" t="s">
        <v>21</v>
      </c>
      <c r="I35" s="17">
        <f t="shared" si="5"/>
        <v>1781.8801094605158</v>
      </c>
      <c r="J35" s="14">
        <f>1402.23+296</f>
        <v>1698.23</v>
      </c>
      <c r="K35" s="19">
        <v>296</v>
      </c>
      <c r="L35" s="2">
        <f>I35/D35</f>
        <v>1781.8801094605158</v>
      </c>
    </row>
    <row r="36" spans="1:12" x14ac:dyDescent="0.35">
      <c r="A36" s="4">
        <v>4633534</v>
      </c>
      <c r="B36" t="s">
        <v>27</v>
      </c>
      <c r="C36" s="6">
        <v>44973</v>
      </c>
      <c r="D36" s="4">
        <v>1</v>
      </c>
      <c r="E36">
        <v>45</v>
      </c>
      <c r="F36" s="4">
        <v>3</v>
      </c>
      <c r="G36" s="4" t="s">
        <v>21</v>
      </c>
      <c r="H36" s="4" t="s">
        <v>21</v>
      </c>
      <c r="I36" s="17">
        <f t="shared" si="5"/>
        <v>1916.1745426114151</v>
      </c>
      <c r="J36" s="14">
        <f>777.22+1049</f>
        <v>1826.22</v>
      </c>
      <c r="K36" s="19">
        <v>1049</v>
      </c>
      <c r="L36" s="2">
        <f>I36/D36</f>
        <v>1916.1745426114151</v>
      </c>
    </row>
    <row r="37" spans="1:12" x14ac:dyDescent="0.35">
      <c r="A37" s="4">
        <v>4623946</v>
      </c>
      <c r="B37" t="s">
        <v>29</v>
      </c>
      <c r="C37" s="6">
        <v>44974</v>
      </c>
      <c r="D37" s="4">
        <v>1</v>
      </c>
      <c r="E37">
        <v>55</v>
      </c>
      <c r="F37" s="4">
        <v>3</v>
      </c>
      <c r="G37" s="4" t="s">
        <v>21</v>
      </c>
      <c r="H37" s="4" t="s">
        <v>21</v>
      </c>
      <c r="I37" s="17">
        <f t="shared" si="5"/>
        <v>3062.0473807662233</v>
      </c>
      <c r="J37" s="14">
        <f>2773.3+145</f>
        <v>2918.3</v>
      </c>
      <c r="K37" s="19">
        <v>145</v>
      </c>
      <c r="L37" s="2">
        <f>I37/D37</f>
        <v>3062.0473807662233</v>
      </c>
    </row>
    <row r="38" spans="1:12" x14ac:dyDescent="0.35">
      <c r="A38" s="4">
        <v>4628197</v>
      </c>
      <c r="B38" t="s">
        <v>29</v>
      </c>
      <c r="C38" s="6">
        <v>44974</v>
      </c>
      <c r="D38" s="4">
        <v>1</v>
      </c>
      <c r="E38">
        <v>55</v>
      </c>
      <c r="F38" s="4">
        <v>3</v>
      </c>
      <c r="G38" s="4" t="s">
        <v>21</v>
      </c>
      <c r="H38" s="4" t="s">
        <v>21</v>
      </c>
      <c r="I38" s="17">
        <f t="shared" si="5"/>
        <v>1411.6601876465988</v>
      </c>
      <c r="J38" s="14">
        <f>1200.39+145</f>
        <v>1345.39</v>
      </c>
      <c r="K38" s="19">
        <v>145</v>
      </c>
      <c r="L38" s="2">
        <f>I38/D38</f>
        <v>1411.6601876465988</v>
      </c>
    </row>
    <row r="39" spans="1:12" x14ac:dyDescent="0.35">
      <c r="A39" s="4">
        <v>4630884</v>
      </c>
      <c r="B39" t="s">
        <v>22</v>
      </c>
      <c r="C39" s="6">
        <v>44975</v>
      </c>
      <c r="D39" s="4">
        <v>1</v>
      </c>
      <c r="E39">
        <v>55</v>
      </c>
      <c r="F39" s="4">
        <v>3</v>
      </c>
      <c r="G39" s="4" t="s">
        <v>21</v>
      </c>
      <c r="H39" s="4" t="s">
        <v>21</v>
      </c>
      <c r="I39" s="17">
        <f t="shared" si="5"/>
        <v>2242.5564972634866</v>
      </c>
      <c r="J39" s="14">
        <f>1528.28+609</f>
        <v>2137.2799999999997</v>
      </c>
      <c r="K39" s="19">
        <v>609</v>
      </c>
      <c r="L39" s="2">
        <f>I39/D39</f>
        <v>2242.5564972634866</v>
      </c>
    </row>
    <row r="40" spans="1:12" x14ac:dyDescent="0.35">
      <c r="A40" s="4">
        <v>4630885</v>
      </c>
      <c r="B40" t="s">
        <v>22</v>
      </c>
      <c r="C40" s="6">
        <v>44977</v>
      </c>
      <c r="D40" s="4">
        <v>1</v>
      </c>
      <c r="E40">
        <v>55</v>
      </c>
      <c r="F40" s="4">
        <v>3</v>
      </c>
      <c r="G40" s="4" t="s">
        <v>21</v>
      </c>
      <c r="H40" s="4" t="s">
        <v>21</v>
      </c>
      <c r="I40" s="17">
        <f t="shared" si="5"/>
        <v>6549.4531508991386</v>
      </c>
      <c r="J40" s="14">
        <f>4386.67+1855.32</f>
        <v>6241.99</v>
      </c>
      <c r="K40" s="19">
        <v>1855.32</v>
      </c>
      <c r="L40" s="2">
        <f>I40/D40</f>
        <v>6549.4531508991386</v>
      </c>
    </row>
    <row r="41" spans="1:12" x14ac:dyDescent="0.35">
      <c r="A41" s="4">
        <v>4632192</v>
      </c>
      <c r="B41" t="s">
        <v>22</v>
      </c>
      <c r="C41" s="6">
        <v>44979</v>
      </c>
      <c r="D41" s="4">
        <v>1</v>
      </c>
      <c r="E41">
        <v>55</v>
      </c>
      <c r="F41" s="4">
        <v>3</v>
      </c>
      <c r="G41" s="4" t="s">
        <v>21</v>
      </c>
      <c r="H41" s="4" t="s">
        <v>21</v>
      </c>
      <c r="I41" s="17">
        <f t="shared" si="5"/>
        <v>3100.4397028928847</v>
      </c>
      <c r="J41" s="14">
        <f>2345.89+609</f>
        <v>2954.89</v>
      </c>
      <c r="K41" s="19">
        <v>609</v>
      </c>
      <c r="L41" s="2">
        <f>I41/D41</f>
        <v>3100.4397028928847</v>
      </c>
    </row>
    <row r="42" spans="1:12" x14ac:dyDescent="0.35">
      <c r="A42" s="4">
        <v>4632188</v>
      </c>
      <c r="B42" t="s">
        <v>22</v>
      </c>
      <c r="C42" s="6">
        <v>44979</v>
      </c>
      <c r="D42" s="4">
        <v>1</v>
      </c>
      <c r="E42">
        <v>55</v>
      </c>
      <c r="F42" s="4">
        <v>3</v>
      </c>
      <c r="G42" s="4" t="s">
        <v>21</v>
      </c>
      <c r="H42" s="4" t="s">
        <v>21</v>
      </c>
      <c r="I42" s="17">
        <f t="shared" si="5"/>
        <v>5316.9011727912421</v>
      </c>
      <c r="J42" s="14">
        <f>4458.3+609</f>
        <v>5067.3</v>
      </c>
      <c r="K42" s="19">
        <v>609</v>
      </c>
      <c r="L42" s="2">
        <f>I42/D42</f>
        <v>5316.9011727912421</v>
      </c>
    </row>
    <row r="43" spans="1:12" x14ac:dyDescent="0.35">
      <c r="A43" s="4">
        <v>4632182</v>
      </c>
      <c r="B43" t="s">
        <v>22</v>
      </c>
      <c r="C43" s="6">
        <v>44979</v>
      </c>
      <c r="D43" s="4">
        <v>1</v>
      </c>
      <c r="E43">
        <v>55</v>
      </c>
      <c r="F43" s="4">
        <v>3</v>
      </c>
      <c r="G43" s="4" t="s">
        <v>21</v>
      </c>
      <c r="H43" s="4" t="s">
        <v>21</v>
      </c>
      <c r="I43" s="17">
        <f t="shared" si="5"/>
        <v>2847.2539327599684</v>
      </c>
      <c r="J43" s="14">
        <f>2104.59+609</f>
        <v>2713.59</v>
      </c>
      <c r="K43" s="19">
        <v>609</v>
      </c>
      <c r="L43" s="2">
        <f>I43/D43</f>
        <v>2847.2539327599684</v>
      </c>
    </row>
    <row r="44" spans="1:12" x14ac:dyDescent="0.35">
      <c r="A44" s="4">
        <v>4633528</v>
      </c>
      <c r="B44" t="s">
        <v>26</v>
      </c>
      <c r="C44" s="6">
        <v>44979</v>
      </c>
      <c r="D44" s="4">
        <v>1</v>
      </c>
      <c r="E44">
        <v>55</v>
      </c>
      <c r="F44" s="4">
        <v>3</v>
      </c>
      <c r="G44" s="4" t="s">
        <v>21</v>
      </c>
      <c r="H44" s="4" t="s">
        <v>21</v>
      </c>
      <c r="I44" s="17">
        <f t="shared" si="5"/>
        <v>4505.6889288506636</v>
      </c>
      <c r="J44" s="14">
        <f>148+4146.17</f>
        <v>4294.17</v>
      </c>
      <c r="K44" s="19">
        <v>148</v>
      </c>
      <c r="L44" s="2">
        <f>I44/D44</f>
        <v>4505.6889288506636</v>
      </c>
    </row>
    <row r="45" spans="1:12" x14ac:dyDescent="0.35">
      <c r="A45" s="4">
        <v>4632211</v>
      </c>
      <c r="B45" t="s">
        <v>29</v>
      </c>
      <c r="C45" s="6">
        <v>44980</v>
      </c>
      <c r="D45" s="4">
        <v>1</v>
      </c>
      <c r="E45">
        <v>45</v>
      </c>
      <c r="F45" s="4">
        <v>3</v>
      </c>
      <c r="G45" s="4" t="s">
        <v>21</v>
      </c>
      <c r="H45" s="4" t="s">
        <v>21</v>
      </c>
      <c r="I45" s="17">
        <f t="shared" si="5"/>
        <v>4391.4458014073489</v>
      </c>
      <c r="J45" s="14">
        <f>3576.29+609</f>
        <v>4185.29</v>
      </c>
      <c r="K45" s="19">
        <v>609</v>
      </c>
      <c r="L45" s="2">
        <f>I45/D45</f>
        <v>4391.4458014073489</v>
      </c>
    </row>
    <row r="46" spans="1:12" x14ac:dyDescent="0.35">
      <c r="A46" s="4">
        <v>4630772</v>
      </c>
      <c r="B46" t="s">
        <v>29</v>
      </c>
      <c r="C46" s="6">
        <v>44981</v>
      </c>
      <c r="D46" s="4">
        <v>1</v>
      </c>
      <c r="E46">
        <v>45</v>
      </c>
      <c r="F46" s="4">
        <v>3</v>
      </c>
      <c r="G46" s="4" t="s">
        <v>21</v>
      </c>
      <c r="H46" s="4" t="s">
        <v>21</v>
      </c>
      <c r="I46" s="17">
        <f t="shared" si="5"/>
        <v>3372.721954652071</v>
      </c>
      <c r="J46" s="14">
        <f>3066.39+148</f>
        <v>3214.39</v>
      </c>
      <c r="K46" s="19">
        <v>148</v>
      </c>
      <c r="L46" s="2">
        <f>I46/D46</f>
        <v>3372.721954652071</v>
      </c>
    </row>
    <row r="47" spans="1:12" x14ac:dyDescent="0.35">
      <c r="A47" s="4">
        <v>4640391</v>
      </c>
      <c r="B47" t="s">
        <v>22</v>
      </c>
      <c r="C47" s="6">
        <v>44983</v>
      </c>
      <c r="D47" s="4">
        <v>1</v>
      </c>
      <c r="E47">
        <v>55</v>
      </c>
      <c r="F47" s="4">
        <v>3</v>
      </c>
      <c r="G47" s="4" t="s">
        <v>21</v>
      </c>
      <c r="H47" s="4" t="s">
        <v>21</v>
      </c>
      <c r="I47" s="17">
        <f>J47*134.2/127.9</f>
        <v>6073.426129788897</v>
      </c>
      <c r="J47" s="14">
        <f>5002.71+785.6</f>
        <v>5788.31</v>
      </c>
      <c r="K47" s="19">
        <v>785.6</v>
      </c>
      <c r="L47" s="2">
        <f>I47/D47</f>
        <v>6073.426129788897</v>
      </c>
    </row>
    <row r="48" spans="1:12" x14ac:dyDescent="0.35">
      <c r="A48" s="4">
        <v>4638978</v>
      </c>
      <c r="B48" t="s">
        <v>22</v>
      </c>
      <c r="C48" s="6">
        <v>44984</v>
      </c>
      <c r="D48" s="4">
        <v>1</v>
      </c>
      <c r="E48">
        <v>55</v>
      </c>
      <c r="F48" s="4">
        <v>3</v>
      </c>
      <c r="G48" s="4" t="s">
        <v>21</v>
      </c>
      <c r="H48" s="4" t="s">
        <v>21</v>
      </c>
      <c r="I48" s="17">
        <f t="shared" si="5"/>
        <v>3872.7140109460506</v>
      </c>
      <c r="J48" s="14">
        <f>3081.91+609</f>
        <v>3690.91</v>
      </c>
      <c r="K48" s="19">
        <v>609</v>
      </c>
      <c r="L48" s="2">
        <f>I48/D48</f>
        <v>3872.7140109460506</v>
      </c>
    </row>
    <row r="49" spans="1:12" x14ac:dyDescent="0.35">
      <c r="A49" s="4">
        <v>4646218</v>
      </c>
      <c r="B49" t="s">
        <v>27</v>
      </c>
      <c r="C49" s="6">
        <v>44985</v>
      </c>
      <c r="D49" s="4">
        <v>1</v>
      </c>
      <c r="E49">
        <v>45</v>
      </c>
      <c r="F49" s="4">
        <v>3</v>
      </c>
      <c r="G49" s="4" t="s">
        <v>21</v>
      </c>
      <c r="H49" s="4" t="s">
        <v>21</v>
      </c>
      <c r="I49" s="17">
        <f t="shared" si="5"/>
        <v>5106.8083971853002</v>
      </c>
      <c r="J49" s="14">
        <f>3796.07+1071</f>
        <v>4867.07</v>
      </c>
      <c r="K49" s="19">
        <v>1071</v>
      </c>
      <c r="L49" s="2">
        <f>I49/D49</f>
        <v>5106.8083971853002</v>
      </c>
    </row>
    <row r="50" spans="1:12" x14ac:dyDescent="0.35">
      <c r="A50" s="4">
        <v>4646207</v>
      </c>
      <c r="B50" t="s">
        <v>27</v>
      </c>
      <c r="C50" s="6">
        <v>44986</v>
      </c>
      <c r="D50" s="4">
        <v>1</v>
      </c>
      <c r="E50">
        <v>45</v>
      </c>
      <c r="F50" s="4">
        <v>3</v>
      </c>
      <c r="G50" s="4" t="s">
        <v>21</v>
      </c>
      <c r="H50" s="4" t="s">
        <v>21</v>
      </c>
      <c r="I50" s="17">
        <f>J50*134.2/128.9</f>
        <v>4504.518262218774</v>
      </c>
      <c r="J50" s="14">
        <f>3255.62+1071</f>
        <v>4326.62</v>
      </c>
      <c r="K50" s="19">
        <v>1071</v>
      </c>
      <c r="L50" s="2">
        <f>I50/D50</f>
        <v>4504.518262218774</v>
      </c>
    </row>
    <row r="51" spans="1:12" x14ac:dyDescent="0.35">
      <c r="A51" s="4">
        <v>4640389</v>
      </c>
      <c r="B51" t="s">
        <v>22</v>
      </c>
      <c r="C51" s="6">
        <v>44986</v>
      </c>
      <c r="D51" s="4">
        <v>1</v>
      </c>
      <c r="E51">
        <v>55</v>
      </c>
      <c r="F51" s="4">
        <v>3</v>
      </c>
      <c r="G51" s="4" t="s">
        <v>21</v>
      </c>
      <c r="H51" s="4" t="s">
        <v>21</v>
      </c>
      <c r="I51" s="17">
        <f t="shared" ref="I51:I97" si="6">J51*134.2/128.9</f>
        <v>4511.8373157486421</v>
      </c>
      <c r="J51" s="14">
        <f>3724.65+609</f>
        <v>4333.6499999999996</v>
      </c>
      <c r="K51" s="19">
        <v>609</v>
      </c>
      <c r="L51" s="2">
        <f>I51/D51</f>
        <v>4511.8373157486421</v>
      </c>
    </row>
    <row r="52" spans="1:12" x14ac:dyDescent="0.35">
      <c r="A52" s="4">
        <v>4642719</v>
      </c>
      <c r="B52" t="s">
        <v>22</v>
      </c>
      <c r="C52" s="6">
        <v>44986</v>
      </c>
      <c r="D52" s="4">
        <v>1</v>
      </c>
      <c r="E52">
        <v>55</v>
      </c>
      <c r="F52" s="4">
        <v>3</v>
      </c>
      <c r="G52" s="4" t="s">
        <v>21</v>
      </c>
      <c r="H52" s="4" t="s">
        <v>21</v>
      </c>
      <c r="I52" s="17">
        <f t="shared" si="6"/>
        <v>11694.733545384017</v>
      </c>
      <c r="J52" s="14">
        <f>10623.87+609</f>
        <v>11232.87</v>
      </c>
      <c r="K52" s="19">
        <v>609</v>
      </c>
      <c r="L52" s="2">
        <f>I52/D52</f>
        <v>11694.733545384017</v>
      </c>
    </row>
    <row r="53" spans="1:12" x14ac:dyDescent="0.35">
      <c r="A53" s="4">
        <v>4647939</v>
      </c>
      <c r="B53" t="s">
        <v>26</v>
      </c>
      <c r="C53" s="6">
        <v>44986</v>
      </c>
      <c r="D53" s="4">
        <v>1</v>
      </c>
      <c r="E53">
        <v>55</v>
      </c>
      <c r="F53" s="4">
        <v>3</v>
      </c>
      <c r="G53" s="4" t="s">
        <v>21</v>
      </c>
      <c r="H53" s="4" t="s">
        <v>21</v>
      </c>
      <c r="I53" s="17">
        <f t="shared" si="6"/>
        <v>6004.4036772692007</v>
      </c>
      <c r="J53" s="14">
        <f>5619.27+148</f>
        <v>5767.27</v>
      </c>
      <c r="K53" s="19">
        <v>148</v>
      </c>
      <c r="L53" s="2">
        <f>I53/D53</f>
        <v>6004.4036772692007</v>
      </c>
    </row>
    <row r="54" spans="1:12" x14ac:dyDescent="0.35">
      <c r="A54" s="4">
        <v>4629563</v>
      </c>
      <c r="B54" t="s">
        <v>29</v>
      </c>
      <c r="C54" s="6">
        <v>44987</v>
      </c>
      <c r="D54" s="4">
        <v>1</v>
      </c>
      <c r="E54">
        <v>45</v>
      </c>
      <c r="F54" s="4">
        <v>3</v>
      </c>
      <c r="G54" s="4" t="s">
        <v>21</v>
      </c>
      <c r="H54" s="4" t="s">
        <v>21</v>
      </c>
      <c r="I54" s="17">
        <f t="shared" si="6"/>
        <v>6237.6659736229622</v>
      </c>
      <c r="J54" s="14">
        <f>5535.32+456</f>
        <v>5991.32</v>
      </c>
      <c r="K54" s="19">
        <v>456</v>
      </c>
      <c r="L54" s="2">
        <f>I54/D54</f>
        <v>6237.6659736229622</v>
      </c>
    </row>
    <row r="55" spans="1:12" x14ac:dyDescent="0.35">
      <c r="A55" s="4">
        <v>4636810</v>
      </c>
      <c r="B55" t="s">
        <v>22</v>
      </c>
      <c r="C55" s="6">
        <v>44987</v>
      </c>
      <c r="D55" s="4">
        <v>1</v>
      </c>
      <c r="E55">
        <v>55</v>
      </c>
      <c r="F55" s="4">
        <v>3</v>
      </c>
      <c r="G55" s="4" t="s">
        <v>21</v>
      </c>
      <c r="H55" s="4" t="s">
        <v>21</v>
      </c>
      <c r="I55" s="17">
        <f t="shared" si="6"/>
        <v>8192.1760124127213</v>
      </c>
      <c r="J55" s="14">
        <f>7259.64+609</f>
        <v>7868.64</v>
      </c>
      <c r="K55" s="19">
        <v>609</v>
      </c>
      <c r="L55" s="2">
        <f>I55/D55</f>
        <v>8192.1760124127213</v>
      </c>
    </row>
    <row r="56" spans="1:12" x14ac:dyDescent="0.35">
      <c r="A56" s="4">
        <v>4623739</v>
      </c>
      <c r="B56" t="s">
        <v>24</v>
      </c>
      <c r="C56" s="6">
        <v>44988</v>
      </c>
      <c r="D56" s="4">
        <v>1</v>
      </c>
      <c r="E56">
        <v>55</v>
      </c>
      <c r="F56" s="4">
        <v>3</v>
      </c>
      <c r="G56" s="4" t="s">
        <v>21</v>
      </c>
      <c r="H56" s="4" t="s">
        <v>21</v>
      </c>
      <c r="I56" s="17">
        <f t="shared" si="6"/>
        <v>13500.25972071373</v>
      </c>
      <c r="J56" s="14">
        <v>12967.09</v>
      </c>
      <c r="K56" s="19">
        <v>2048.15</v>
      </c>
      <c r="L56" s="2">
        <f>I56/D56</f>
        <v>13500.25972071373</v>
      </c>
    </row>
    <row r="57" spans="1:12" x14ac:dyDescent="0.35">
      <c r="A57" s="4">
        <v>4624990</v>
      </c>
      <c r="B57" t="s">
        <v>24</v>
      </c>
      <c r="C57" s="6">
        <v>44988</v>
      </c>
      <c r="D57" s="4">
        <v>1</v>
      </c>
      <c r="E57">
        <v>55</v>
      </c>
      <c r="F57" s="4">
        <v>3</v>
      </c>
      <c r="G57" s="4" t="s">
        <v>21</v>
      </c>
      <c r="H57" s="4" t="s">
        <v>21</v>
      </c>
      <c r="I57" s="17">
        <f t="shared" si="6"/>
        <v>33666.719643134209</v>
      </c>
      <c r="J57" s="14">
        <v>32337.11</v>
      </c>
      <c r="K57" s="19">
        <v>1576</v>
      </c>
      <c r="L57" s="2">
        <f>I57/D57</f>
        <v>33666.719643134209</v>
      </c>
    </row>
    <row r="58" spans="1:12" x14ac:dyDescent="0.35">
      <c r="A58" s="4">
        <v>4638976</v>
      </c>
      <c r="B58" t="s">
        <v>22</v>
      </c>
      <c r="C58" s="6">
        <v>44988</v>
      </c>
      <c r="D58" s="4">
        <v>1</v>
      </c>
      <c r="E58">
        <v>55</v>
      </c>
      <c r="F58" s="4">
        <v>3</v>
      </c>
      <c r="G58" s="4" t="s">
        <v>21</v>
      </c>
      <c r="H58" s="4" t="s">
        <v>21</v>
      </c>
      <c r="I58" s="17">
        <f t="shared" si="6"/>
        <v>18109.545601241269</v>
      </c>
      <c r="J58" s="14">
        <f>15285.34+2109</f>
        <v>17394.34</v>
      </c>
      <c r="K58" s="19">
        <v>2109</v>
      </c>
      <c r="L58" s="2">
        <f>I58/D58</f>
        <v>18109.545601241269</v>
      </c>
    </row>
    <row r="59" spans="1:12" x14ac:dyDescent="0.35">
      <c r="A59" s="4">
        <v>4630408</v>
      </c>
      <c r="B59" t="s">
        <v>29</v>
      </c>
      <c r="C59" s="6">
        <v>44991</v>
      </c>
      <c r="D59" s="4">
        <v>1</v>
      </c>
      <c r="E59">
        <v>45</v>
      </c>
      <c r="F59" s="4">
        <v>3</v>
      </c>
      <c r="G59" s="4" t="s">
        <v>21</v>
      </c>
      <c r="H59" s="4" t="s">
        <v>21</v>
      </c>
      <c r="I59" s="17">
        <f t="shared" si="6"/>
        <v>5734.2337781225751</v>
      </c>
      <c r="J59" s="14">
        <f>5051.77+456</f>
        <v>5507.77</v>
      </c>
      <c r="K59" s="19">
        <v>456</v>
      </c>
      <c r="L59" s="2">
        <f>I59/D59</f>
        <v>5734.2337781225751</v>
      </c>
    </row>
    <row r="60" spans="1:12" x14ac:dyDescent="0.35">
      <c r="A60" s="4">
        <v>4628192</v>
      </c>
      <c r="B60" t="s">
        <v>24</v>
      </c>
      <c r="C60" s="6">
        <v>44991</v>
      </c>
      <c r="D60" s="4">
        <v>1</v>
      </c>
      <c r="E60">
        <v>49</v>
      </c>
      <c r="F60" s="4">
        <v>3</v>
      </c>
      <c r="G60" s="4" t="s">
        <v>21</v>
      </c>
      <c r="H60" s="4" t="s">
        <v>21</v>
      </c>
      <c r="I60" s="17">
        <f t="shared" si="6"/>
        <v>7217.9922885958104</v>
      </c>
      <c r="J60" s="14">
        <f>5861.93+1071</f>
        <v>6932.93</v>
      </c>
      <c r="K60" s="19">
        <v>1071</v>
      </c>
      <c r="L60" s="2">
        <f>I60/D60</f>
        <v>7217.9922885958104</v>
      </c>
    </row>
    <row r="61" spans="1:12" x14ac:dyDescent="0.35">
      <c r="A61" s="4">
        <v>4628196</v>
      </c>
      <c r="B61" t="s">
        <v>24</v>
      </c>
      <c r="C61" s="6">
        <v>44991</v>
      </c>
      <c r="D61" s="4">
        <v>1</v>
      </c>
      <c r="E61">
        <v>55</v>
      </c>
      <c r="F61" s="4">
        <v>1</v>
      </c>
      <c r="G61" s="4" t="s">
        <v>21</v>
      </c>
      <c r="H61" s="4" t="s">
        <v>21</v>
      </c>
      <c r="I61" s="17">
        <f t="shared" si="6"/>
        <v>3552.9059581070596</v>
      </c>
      <c r="J61" s="14">
        <f>2341.59+1071</f>
        <v>3412.59</v>
      </c>
      <c r="K61" s="19">
        <v>1071</v>
      </c>
      <c r="L61" s="2">
        <f>I61/D61</f>
        <v>3552.9059581070596</v>
      </c>
    </row>
    <row r="62" spans="1:12" x14ac:dyDescent="0.35">
      <c r="A62" s="4">
        <v>4632229</v>
      </c>
      <c r="B62" t="s">
        <v>22</v>
      </c>
      <c r="C62" s="6">
        <v>44991</v>
      </c>
      <c r="D62" s="4">
        <v>1</v>
      </c>
      <c r="E62">
        <v>55</v>
      </c>
      <c r="F62" s="4">
        <v>3</v>
      </c>
      <c r="G62" s="4" t="s">
        <v>21</v>
      </c>
      <c r="H62" s="4" t="s">
        <v>21</v>
      </c>
      <c r="I62" s="17">
        <f t="shared" si="6"/>
        <v>10005.323165244376</v>
      </c>
      <c r="J62" s="14">
        <f>9001.18+609</f>
        <v>9610.18</v>
      </c>
      <c r="K62" s="19">
        <v>609</v>
      </c>
      <c r="L62" s="2">
        <f>I62/D62</f>
        <v>10005.323165244376</v>
      </c>
    </row>
    <row r="63" spans="1:12" x14ac:dyDescent="0.35">
      <c r="A63" s="4">
        <v>4633545</v>
      </c>
      <c r="B63" t="s">
        <v>26</v>
      </c>
      <c r="C63" s="6">
        <v>44991</v>
      </c>
      <c r="D63" s="4">
        <v>1</v>
      </c>
      <c r="E63">
        <v>55</v>
      </c>
      <c r="F63" s="4">
        <v>3</v>
      </c>
      <c r="G63" s="4" t="s">
        <v>21</v>
      </c>
      <c r="H63" s="4" t="s">
        <v>21</v>
      </c>
      <c r="I63" s="17">
        <f t="shared" si="6"/>
        <v>9942.8144918541475</v>
      </c>
      <c r="J63" s="14">
        <f>9402.14+148</f>
        <v>9550.14</v>
      </c>
      <c r="K63" s="19">
        <v>148</v>
      </c>
      <c r="L63" s="2">
        <f>I63/D63</f>
        <v>9942.8144918541475</v>
      </c>
    </row>
    <row r="64" spans="1:12" x14ac:dyDescent="0.35">
      <c r="A64" s="4">
        <v>4647929</v>
      </c>
      <c r="B64" t="s">
        <v>26</v>
      </c>
      <c r="C64" s="6">
        <v>44991</v>
      </c>
      <c r="D64" s="4">
        <v>1</v>
      </c>
      <c r="E64">
        <v>55</v>
      </c>
      <c r="F64" s="4">
        <v>3</v>
      </c>
      <c r="G64" s="4" t="s">
        <v>21</v>
      </c>
      <c r="H64" s="4" t="s">
        <v>21</v>
      </c>
      <c r="I64" s="17">
        <f t="shared" si="6"/>
        <v>3418.6851357641581</v>
      </c>
      <c r="J64" s="14">
        <f>3135.67+148</f>
        <v>3283.67</v>
      </c>
      <c r="K64" s="19">
        <v>148</v>
      </c>
      <c r="L64" s="2">
        <f>I64/D64</f>
        <v>3418.6851357641581</v>
      </c>
    </row>
    <row r="65" spans="1:12" x14ac:dyDescent="0.35">
      <c r="A65" s="4">
        <v>4635748</v>
      </c>
      <c r="B65" t="s">
        <v>26</v>
      </c>
      <c r="C65" s="6">
        <v>44991</v>
      </c>
      <c r="D65" s="4">
        <v>1</v>
      </c>
      <c r="E65">
        <v>55</v>
      </c>
      <c r="F65" s="4">
        <v>3</v>
      </c>
      <c r="G65" s="4" t="s">
        <v>21</v>
      </c>
      <c r="H65" s="4" t="s">
        <v>21</v>
      </c>
      <c r="I65" s="17">
        <f t="shared" si="6"/>
        <v>2531.226470131885</v>
      </c>
      <c r="J65" s="14">
        <f>2283.26+148</f>
        <v>2431.2600000000002</v>
      </c>
      <c r="K65" s="19">
        <v>148</v>
      </c>
      <c r="L65" s="2">
        <f>I65/D65</f>
        <v>2531.226470131885</v>
      </c>
    </row>
    <row r="66" spans="1:12" x14ac:dyDescent="0.35">
      <c r="A66" s="4">
        <v>4654785</v>
      </c>
      <c r="B66" t="s">
        <v>27</v>
      </c>
      <c r="C66" s="6">
        <v>44992</v>
      </c>
      <c r="D66" s="4">
        <v>1</v>
      </c>
      <c r="E66">
        <v>45</v>
      </c>
      <c r="F66" s="4">
        <v>3</v>
      </c>
      <c r="G66" s="4" t="s">
        <v>21</v>
      </c>
      <c r="H66" s="4" t="s">
        <v>21</v>
      </c>
      <c r="I66" s="17">
        <f t="shared" si="6"/>
        <v>1401.7288906128779</v>
      </c>
      <c r="J66" s="14">
        <f>1198.37+148</f>
        <v>1346.37</v>
      </c>
      <c r="K66" s="19">
        <v>148</v>
      </c>
      <c r="L66" s="2">
        <f>I66/D66</f>
        <v>1401.7288906128779</v>
      </c>
    </row>
    <row r="67" spans="1:12" x14ac:dyDescent="0.35">
      <c r="A67" s="4">
        <v>4642596</v>
      </c>
      <c r="B67" t="s">
        <v>25</v>
      </c>
      <c r="C67" s="6">
        <v>44992</v>
      </c>
      <c r="D67" s="4">
        <v>1</v>
      </c>
      <c r="E67">
        <v>55</v>
      </c>
      <c r="F67" s="4">
        <v>1</v>
      </c>
      <c r="G67" s="4" t="s">
        <v>21</v>
      </c>
      <c r="H67" s="4" t="s">
        <v>21</v>
      </c>
      <c r="I67" s="17">
        <f t="shared" si="6"/>
        <v>2636.4209464701316</v>
      </c>
      <c r="J67" s="14">
        <f>2384.3+148</f>
        <v>2532.3000000000002</v>
      </c>
      <c r="K67" s="19">
        <v>148</v>
      </c>
      <c r="L67" s="2">
        <f>I67/D67</f>
        <v>2636.4209464701316</v>
      </c>
    </row>
    <row r="68" spans="1:12" x14ac:dyDescent="0.35">
      <c r="A68" s="4">
        <v>4630897</v>
      </c>
      <c r="B68" t="s">
        <v>24</v>
      </c>
      <c r="C68" s="6">
        <v>44992</v>
      </c>
      <c r="D68" s="4">
        <v>1</v>
      </c>
      <c r="E68">
        <v>55</v>
      </c>
      <c r="F68" s="4">
        <v>3</v>
      </c>
      <c r="G68" s="4" t="s">
        <v>21</v>
      </c>
      <c r="H68" s="4" t="s">
        <v>21</v>
      </c>
      <c r="I68" s="17">
        <f t="shared" si="6"/>
        <v>36668.249961210233</v>
      </c>
      <c r="J68" s="14">
        <v>35220.1</v>
      </c>
      <c r="K68" s="19">
        <v>1576</v>
      </c>
      <c r="L68" s="2">
        <f>I68/D68</f>
        <v>36668.249961210233</v>
      </c>
    </row>
    <row r="69" spans="1:12" x14ac:dyDescent="0.35">
      <c r="A69" s="4">
        <v>4632206</v>
      </c>
      <c r="B69" t="s">
        <v>24</v>
      </c>
      <c r="C69" s="6">
        <v>44992</v>
      </c>
      <c r="D69" s="4">
        <v>1</v>
      </c>
      <c r="E69">
        <v>55</v>
      </c>
      <c r="F69" s="4">
        <v>3</v>
      </c>
      <c r="G69" s="4" t="s">
        <v>21</v>
      </c>
      <c r="H69" s="4" t="s">
        <v>21</v>
      </c>
      <c r="I69" s="17">
        <f t="shared" si="6"/>
        <v>2625.7390845616756</v>
      </c>
      <c r="J69" s="14">
        <f>1451.04+1071</f>
        <v>2522.04</v>
      </c>
      <c r="K69" s="19">
        <v>1071</v>
      </c>
      <c r="L69" s="2">
        <f>I69/D69</f>
        <v>2625.7390845616756</v>
      </c>
    </row>
    <row r="70" spans="1:12" x14ac:dyDescent="0.35">
      <c r="A70" s="4">
        <v>4633500</v>
      </c>
      <c r="B70" t="s">
        <v>26</v>
      </c>
      <c r="C70" s="6">
        <v>44992</v>
      </c>
      <c r="D70" s="4">
        <v>1</v>
      </c>
      <c r="E70">
        <v>55</v>
      </c>
      <c r="F70" s="4">
        <v>3</v>
      </c>
      <c r="G70" s="4" t="s">
        <v>21</v>
      </c>
      <c r="H70" s="4" t="s">
        <v>21</v>
      </c>
      <c r="I70" s="17">
        <f t="shared" si="6"/>
        <v>9637.1424980605116</v>
      </c>
      <c r="J70" s="14">
        <f>9108.54+148</f>
        <v>9256.5400000000009</v>
      </c>
      <c r="K70" s="19">
        <v>148</v>
      </c>
      <c r="L70" s="2">
        <f>I70/D70</f>
        <v>9637.1424980605116</v>
      </c>
    </row>
    <row r="71" spans="1:12" x14ac:dyDescent="0.35">
      <c r="A71" s="4">
        <v>4633553</v>
      </c>
      <c r="B71" t="s">
        <v>29</v>
      </c>
      <c r="C71" s="6">
        <v>44993</v>
      </c>
      <c r="D71" s="4">
        <v>1</v>
      </c>
      <c r="E71">
        <v>45</v>
      </c>
      <c r="F71" s="4">
        <v>3</v>
      </c>
      <c r="G71" s="4" t="s">
        <v>21</v>
      </c>
      <c r="H71" s="4" t="s">
        <v>21</v>
      </c>
      <c r="I71" s="17">
        <f t="shared" si="6"/>
        <v>2115.0711249030251</v>
      </c>
      <c r="J71" s="14">
        <f>1883.54+148</f>
        <v>2031.54</v>
      </c>
      <c r="K71" s="19">
        <v>148</v>
      </c>
      <c r="L71" s="2">
        <f>I71/D71</f>
        <v>2115.0711249030251</v>
      </c>
    </row>
    <row r="72" spans="1:12" x14ac:dyDescent="0.35">
      <c r="A72" s="4">
        <v>4650481</v>
      </c>
      <c r="B72" t="s">
        <v>25</v>
      </c>
      <c r="C72" s="6">
        <v>44993</v>
      </c>
      <c r="D72" s="4">
        <v>1</v>
      </c>
      <c r="E72">
        <v>55</v>
      </c>
      <c r="F72" s="4">
        <v>3</v>
      </c>
      <c r="G72" s="4" t="s">
        <v>21</v>
      </c>
      <c r="H72" s="4" t="s">
        <v>21</v>
      </c>
      <c r="I72" s="17">
        <f t="shared" si="6"/>
        <v>2315.9546780449955</v>
      </c>
      <c r="J72" s="14">
        <f>2076.49+148</f>
        <v>2224.4899999999998</v>
      </c>
      <c r="K72" s="19">
        <v>148</v>
      </c>
      <c r="L72" s="2">
        <f>I72/D72</f>
        <v>2315.9546780449955</v>
      </c>
    </row>
    <row r="73" spans="1:12" x14ac:dyDescent="0.35">
      <c r="A73" s="4">
        <v>4635772</v>
      </c>
      <c r="B73" t="s">
        <v>26</v>
      </c>
      <c r="C73" s="6">
        <v>44993</v>
      </c>
      <c r="D73" s="4">
        <v>1</v>
      </c>
      <c r="E73">
        <v>55</v>
      </c>
      <c r="F73" s="4">
        <v>3</v>
      </c>
      <c r="G73" s="4" t="s">
        <v>21</v>
      </c>
      <c r="H73" s="4" t="s">
        <v>21</v>
      </c>
      <c r="I73" s="17">
        <f t="shared" si="6"/>
        <v>3594.7172226532193</v>
      </c>
      <c r="J73" s="14">
        <f>2381.75+1071</f>
        <v>3452.75</v>
      </c>
      <c r="K73" s="19">
        <v>1071</v>
      </c>
      <c r="L73" s="2">
        <f>I73/D73</f>
        <v>3594.7172226532193</v>
      </c>
    </row>
    <row r="74" spans="1:12" x14ac:dyDescent="0.35">
      <c r="A74" s="4">
        <v>4635770</v>
      </c>
      <c r="B74" t="s">
        <v>26</v>
      </c>
      <c r="C74" s="6">
        <v>44993</v>
      </c>
      <c r="D74" s="4">
        <v>1</v>
      </c>
      <c r="E74">
        <v>55</v>
      </c>
      <c r="F74" s="4">
        <v>3</v>
      </c>
      <c r="G74" s="4" t="s">
        <v>21</v>
      </c>
      <c r="H74" s="4" t="s">
        <v>21</v>
      </c>
      <c r="I74" s="17">
        <f t="shared" si="6"/>
        <v>3594.7172226532193</v>
      </c>
      <c r="J74" s="14">
        <f>2381.75+1071</f>
        <v>3452.75</v>
      </c>
      <c r="K74" s="19">
        <v>1071</v>
      </c>
      <c r="L74" s="2">
        <f>I74/D74</f>
        <v>3594.7172226532193</v>
      </c>
    </row>
    <row r="75" spans="1:12" x14ac:dyDescent="0.35">
      <c r="A75" s="4">
        <v>4635744</v>
      </c>
      <c r="B75" t="s">
        <v>26</v>
      </c>
      <c r="C75" s="6">
        <v>44993</v>
      </c>
      <c r="D75" s="4">
        <v>1</v>
      </c>
      <c r="E75">
        <v>55</v>
      </c>
      <c r="F75" s="4">
        <v>3</v>
      </c>
      <c r="G75" s="4" t="s">
        <v>21</v>
      </c>
      <c r="H75" s="4" t="s">
        <v>21</v>
      </c>
      <c r="I75" s="17">
        <f t="shared" si="6"/>
        <v>2037.7161210240497</v>
      </c>
      <c r="J75" s="14">
        <f>1809.24+148</f>
        <v>1957.24</v>
      </c>
      <c r="K75" s="19">
        <v>148</v>
      </c>
      <c r="L75" s="2">
        <f>I75/D75</f>
        <v>2037.7161210240497</v>
      </c>
    </row>
    <row r="76" spans="1:12" x14ac:dyDescent="0.35">
      <c r="A76" s="4">
        <v>4661561</v>
      </c>
      <c r="B76" t="s">
        <v>24</v>
      </c>
      <c r="C76" s="6">
        <v>44995</v>
      </c>
      <c r="D76" s="4">
        <v>1</v>
      </c>
      <c r="E76">
        <v>45</v>
      </c>
      <c r="F76" s="4">
        <v>3</v>
      </c>
      <c r="G76" s="4" t="s">
        <v>21</v>
      </c>
      <c r="H76" s="4" t="s">
        <v>21</v>
      </c>
      <c r="I76" s="17">
        <f t="shared" si="6"/>
        <v>4436.4812567882082</v>
      </c>
      <c r="J76" s="14">
        <f>3027.94+1233.33</f>
        <v>4261.2700000000004</v>
      </c>
      <c r="K76" s="19">
        <v>1233.33</v>
      </c>
      <c r="L76" s="2">
        <f>I76/D76</f>
        <v>4436.4812567882082</v>
      </c>
    </row>
    <row r="77" spans="1:12" x14ac:dyDescent="0.35">
      <c r="A77" s="4">
        <v>4647514</v>
      </c>
      <c r="B77" t="s">
        <v>26</v>
      </c>
      <c r="C77" s="6">
        <v>44999</v>
      </c>
      <c r="D77" s="4">
        <v>1</v>
      </c>
      <c r="E77">
        <v>55</v>
      </c>
      <c r="F77" s="4">
        <v>3</v>
      </c>
      <c r="G77" s="4" t="s">
        <v>21</v>
      </c>
      <c r="H77" s="4" t="s">
        <v>21</v>
      </c>
      <c r="I77" s="17">
        <f t="shared" si="6"/>
        <v>9112.6901474010847</v>
      </c>
      <c r="J77" s="14">
        <f>8604.8+148</f>
        <v>8752.7999999999993</v>
      </c>
      <c r="K77" s="19">
        <v>148</v>
      </c>
      <c r="L77" s="2">
        <f>I77/D77</f>
        <v>9112.6901474010847</v>
      </c>
    </row>
    <row r="78" spans="1:12" x14ac:dyDescent="0.35">
      <c r="A78" s="4">
        <v>4639611</v>
      </c>
      <c r="B78" t="s">
        <v>26</v>
      </c>
      <c r="C78" s="6">
        <v>44999</v>
      </c>
      <c r="D78" s="4">
        <v>1</v>
      </c>
      <c r="E78">
        <v>55</v>
      </c>
      <c r="F78" s="4">
        <v>3</v>
      </c>
      <c r="G78" s="4" t="s">
        <v>21</v>
      </c>
      <c r="H78" s="4" t="s">
        <v>21</v>
      </c>
      <c r="I78" s="17">
        <f t="shared" si="6"/>
        <v>4495.8665787432119</v>
      </c>
      <c r="J78" s="14">
        <f>4170.31+148</f>
        <v>4318.3100000000004</v>
      </c>
      <c r="K78" s="19">
        <v>148</v>
      </c>
      <c r="L78" s="2">
        <f>I78/D78</f>
        <v>4495.8665787432119</v>
      </c>
    </row>
    <row r="79" spans="1:12" x14ac:dyDescent="0.35">
      <c r="A79" s="4">
        <v>4642112</v>
      </c>
      <c r="B79" t="s">
        <v>24</v>
      </c>
      <c r="C79" s="6">
        <v>45000</v>
      </c>
      <c r="D79" s="4">
        <v>1</v>
      </c>
      <c r="E79">
        <v>55</v>
      </c>
      <c r="F79" s="4">
        <v>3</v>
      </c>
      <c r="G79" s="4" t="s">
        <v>21</v>
      </c>
      <c r="H79" s="4" t="s">
        <v>21</v>
      </c>
      <c r="I79" s="17">
        <f t="shared" si="6"/>
        <v>3334.333824670287</v>
      </c>
      <c r="J79" s="14">
        <f>2131.65+1071</f>
        <v>3202.65</v>
      </c>
      <c r="K79" s="19">
        <f>1071</f>
        <v>1071</v>
      </c>
      <c r="L79" s="2">
        <f>I79/D79</f>
        <v>3334.333824670287</v>
      </c>
    </row>
    <row r="80" spans="1:12" x14ac:dyDescent="0.35">
      <c r="A80" s="4">
        <v>4636839</v>
      </c>
      <c r="B80" t="s">
        <v>22</v>
      </c>
      <c r="C80" s="6">
        <v>45001</v>
      </c>
      <c r="D80" s="4">
        <v>1</v>
      </c>
      <c r="E80">
        <v>55</v>
      </c>
      <c r="F80" s="4">
        <v>3</v>
      </c>
      <c r="G80" s="4" t="s">
        <v>21</v>
      </c>
      <c r="H80" s="4" t="s">
        <v>21</v>
      </c>
      <c r="I80" s="17">
        <f t="shared" si="6"/>
        <v>9313.459177657096</v>
      </c>
      <c r="J80" s="14">
        <f>4800.18+4145.46</f>
        <v>8945.64</v>
      </c>
      <c r="K80" s="19">
        <v>4145.46</v>
      </c>
      <c r="L80" s="2">
        <f>I80/D80</f>
        <v>9313.459177657096</v>
      </c>
    </row>
    <row r="81" spans="1:12" x14ac:dyDescent="0.35">
      <c r="A81" s="4">
        <v>4642121</v>
      </c>
      <c r="B81" t="s">
        <v>22</v>
      </c>
      <c r="C81" s="6">
        <v>45001</v>
      </c>
      <c r="D81" s="4">
        <v>1</v>
      </c>
      <c r="E81">
        <v>55</v>
      </c>
      <c r="F81" s="4">
        <v>3</v>
      </c>
      <c r="G81" s="4" t="s">
        <v>21</v>
      </c>
      <c r="H81" s="4" t="s">
        <v>21</v>
      </c>
      <c r="I81" s="17">
        <f t="shared" si="6"/>
        <v>4664.7774243599679</v>
      </c>
      <c r="J81" s="14">
        <f>3409.55+1071</f>
        <v>4480.55</v>
      </c>
      <c r="K81" s="19">
        <v>1071</v>
      </c>
      <c r="L81" s="2">
        <f>I81/D81</f>
        <v>4664.7774243599679</v>
      </c>
    </row>
    <row r="82" spans="1:12" x14ac:dyDescent="0.35">
      <c r="A82" s="4">
        <v>4655639</v>
      </c>
      <c r="B82" t="s">
        <v>22</v>
      </c>
      <c r="C82" s="6">
        <v>45002</v>
      </c>
      <c r="D82" s="4">
        <v>1</v>
      </c>
      <c r="E82">
        <v>45</v>
      </c>
      <c r="F82" s="4">
        <v>3</v>
      </c>
      <c r="G82" s="4" t="s">
        <v>21</v>
      </c>
      <c r="H82" s="4" t="s">
        <v>21</v>
      </c>
      <c r="I82" s="17">
        <f t="shared" si="6"/>
        <v>12892.944856477889</v>
      </c>
      <c r="J82" s="14">
        <v>12383.76</v>
      </c>
      <c r="K82" s="19">
        <v>1263</v>
      </c>
      <c r="L82" s="2">
        <f>I82/D82</f>
        <v>12892.944856477889</v>
      </c>
    </row>
    <row r="83" spans="1:12" x14ac:dyDescent="0.35">
      <c r="A83" s="4">
        <v>4630566</v>
      </c>
      <c r="B83" t="s">
        <v>29</v>
      </c>
      <c r="C83" s="6">
        <v>45005</v>
      </c>
      <c r="D83" s="4">
        <v>1</v>
      </c>
      <c r="E83">
        <v>45</v>
      </c>
      <c r="F83" s="4">
        <v>3</v>
      </c>
      <c r="G83" s="4" t="s">
        <v>21</v>
      </c>
      <c r="H83" s="4" t="s">
        <v>21</v>
      </c>
      <c r="I83" s="17">
        <f t="shared" si="6"/>
        <v>39327.648363072149</v>
      </c>
      <c r="J83" s="14">
        <v>37774.47</v>
      </c>
      <c r="K83" s="19">
        <v>653</v>
      </c>
      <c r="L83" s="2">
        <f>I83/D83</f>
        <v>39327.648363072149</v>
      </c>
    </row>
    <row r="84" spans="1:12" x14ac:dyDescent="0.35">
      <c r="A84" s="4">
        <v>4671793</v>
      </c>
      <c r="B84" t="s">
        <v>27</v>
      </c>
      <c r="C84" s="6">
        <v>45005</v>
      </c>
      <c r="D84" s="4">
        <v>1</v>
      </c>
      <c r="E84">
        <v>55</v>
      </c>
      <c r="F84" s="4">
        <v>3</v>
      </c>
      <c r="G84" s="4" t="s">
        <v>21</v>
      </c>
      <c r="H84" s="4" t="s">
        <v>21</v>
      </c>
      <c r="I84" s="17">
        <f t="shared" si="6"/>
        <v>27346.763770364621</v>
      </c>
      <c r="J84" s="14">
        <f>16679.67+9587.08</f>
        <v>26266.75</v>
      </c>
      <c r="K84" s="19">
        <v>9587.08</v>
      </c>
      <c r="L84" s="2">
        <f>I84/D84</f>
        <v>27346.763770364621</v>
      </c>
    </row>
    <row r="85" spans="1:12" x14ac:dyDescent="0.35">
      <c r="A85" s="4">
        <v>4647465</v>
      </c>
      <c r="B85" t="s">
        <v>22</v>
      </c>
      <c r="C85" s="6">
        <v>45005</v>
      </c>
      <c r="D85" s="4">
        <v>1</v>
      </c>
      <c r="E85">
        <v>55</v>
      </c>
      <c r="F85" s="4">
        <v>3</v>
      </c>
      <c r="G85" s="4" t="s">
        <v>21</v>
      </c>
      <c r="H85" s="4" t="s">
        <v>21</v>
      </c>
      <c r="I85" s="17">
        <f t="shared" si="6"/>
        <v>5101.755112490303</v>
      </c>
      <c r="J85" s="14">
        <f>3829.27+1071</f>
        <v>4900.2700000000004</v>
      </c>
      <c r="K85" s="19">
        <v>1071</v>
      </c>
      <c r="L85" s="2">
        <f>I85/D85</f>
        <v>5101.755112490303</v>
      </c>
    </row>
    <row r="86" spans="1:12" x14ac:dyDescent="0.35">
      <c r="A86" s="4">
        <v>4645982</v>
      </c>
      <c r="B86" t="s">
        <v>22</v>
      </c>
      <c r="C86" s="6">
        <v>45005</v>
      </c>
      <c r="D86" s="4">
        <v>1</v>
      </c>
      <c r="E86">
        <v>55</v>
      </c>
      <c r="F86" s="4">
        <v>3</v>
      </c>
      <c r="G86" s="4" t="s">
        <v>21</v>
      </c>
      <c r="H86" s="4" t="s">
        <v>21</v>
      </c>
      <c r="I86" s="17">
        <f t="shared" si="6"/>
        <v>6629.261365399535</v>
      </c>
      <c r="J86" s="14">
        <f>2496.38+3871.07</f>
        <v>6367.4500000000007</v>
      </c>
      <c r="K86" s="19">
        <v>3871.07</v>
      </c>
      <c r="L86" s="2">
        <f>I86/D86</f>
        <v>6629.261365399535</v>
      </c>
    </row>
    <row r="87" spans="1:12" x14ac:dyDescent="0.35">
      <c r="A87" s="4">
        <v>4645989</v>
      </c>
      <c r="B87" t="s">
        <v>22</v>
      </c>
      <c r="C87" s="6">
        <v>45005</v>
      </c>
      <c r="D87" s="4">
        <v>1</v>
      </c>
      <c r="E87">
        <v>55</v>
      </c>
      <c r="F87" s="4">
        <v>3</v>
      </c>
      <c r="G87" s="4" t="s">
        <v>21</v>
      </c>
      <c r="H87" s="4" t="s">
        <v>21</v>
      </c>
      <c r="I87" s="17">
        <f t="shared" si="6"/>
        <v>7132.1521799844822</v>
      </c>
      <c r="J87" s="14">
        <f>3070.02+3780.46</f>
        <v>6850.48</v>
      </c>
      <c r="K87" s="19">
        <v>3780.42</v>
      </c>
      <c r="L87" s="2">
        <f>I87/D87</f>
        <v>7132.1521799844822</v>
      </c>
    </row>
    <row r="88" spans="1:12" x14ac:dyDescent="0.35">
      <c r="A88" s="4">
        <v>4647461</v>
      </c>
      <c r="B88" t="s">
        <v>24</v>
      </c>
      <c r="C88" s="9">
        <v>45005</v>
      </c>
      <c r="D88" s="4">
        <v>1</v>
      </c>
      <c r="E88">
        <v>55</v>
      </c>
      <c r="F88" s="4">
        <v>3</v>
      </c>
      <c r="G88" s="4" t="s">
        <v>21</v>
      </c>
      <c r="H88" s="4" t="s">
        <v>21</v>
      </c>
      <c r="I88" s="17">
        <f t="shared" si="6"/>
        <v>4981.183335919317</v>
      </c>
      <c r="J88" s="14">
        <f>3713.46+1071</f>
        <v>4784.46</v>
      </c>
      <c r="K88" s="19">
        <v>1071</v>
      </c>
      <c r="L88" s="2">
        <f>I88/D88</f>
        <v>4981.183335919317</v>
      </c>
    </row>
    <row r="89" spans="1:12" x14ac:dyDescent="0.35">
      <c r="A89" s="4">
        <v>4297912</v>
      </c>
      <c r="B89" t="s">
        <v>29</v>
      </c>
      <c r="C89" s="6">
        <v>45006</v>
      </c>
      <c r="D89" s="4">
        <v>1</v>
      </c>
      <c r="E89">
        <v>45</v>
      </c>
      <c r="F89" s="4">
        <v>3</v>
      </c>
      <c r="G89" s="4" t="s">
        <v>21</v>
      </c>
      <c r="H89" s="4" t="s">
        <v>21</v>
      </c>
      <c r="I89" s="17">
        <f t="shared" si="6"/>
        <v>51423.253653995336</v>
      </c>
      <c r="J89" s="14">
        <v>49392.38</v>
      </c>
      <c r="K89" s="19">
        <v>653</v>
      </c>
      <c r="L89" s="2">
        <f>I89/D89</f>
        <v>51423.253653995336</v>
      </c>
    </row>
    <row r="90" spans="1:12" x14ac:dyDescent="0.35">
      <c r="A90" s="4">
        <v>4671639</v>
      </c>
      <c r="B90" t="s">
        <v>22</v>
      </c>
      <c r="C90" s="6">
        <v>45006</v>
      </c>
      <c r="D90" s="4">
        <v>1</v>
      </c>
      <c r="E90">
        <v>55</v>
      </c>
      <c r="F90" s="4">
        <v>3</v>
      </c>
      <c r="G90" s="4" t="s">
        <v>21</v>
      </c>
      <c r="H90" s="4" t="s">
        <v>21</v>
      </c>
      <c r="I90" s="17">
        <f t="shared" si="6"/>
        <v>3534.197083010085</v>
      </c>
      <c r="J90" s="14">
        <f>2323.62+1071</f>
        <v>3394.62</v>
      </c>
      <c r="K90" s="19">
        <v>1071</v>
      </c>
      <c r="L90" s="2">
        <f>I90/D90</f>
        <v>3534.197083010085</v>
      </c>
    </row>
    <row r="91" spans="1:12" x14ac:dyDescent="0.35">
      <c r="A91" s="4">
        <v>4635758</v>
      </c>
      <c r="B91" t="s">
        <v>26</v>
      </c>
      <c r="C91" s="6">
        <v>45007</v>
      </c>
      <c r="D91" s="4">
        <v>1</v>
      </c>
      <c r="E91">
        <v>55</v>
      </c>
      <c r="F91" s="4">
        <v>3</v>
      </c>
      <c r="G91" s="4" t="s">
        <v>21</v>
      </c>
      <c r="H91" s="4" t="s">
        <v>21</v>
      </c>
      <c r="I91" s="17">
        <f t="shared" si="6"/>
        <v>10512.649138867337</v>
      </c>
      <c r="J91" s="14">
        <v>10097.469999999999</v>
      </c>
      <c r="K91" s="19">
        <v>1576</v>
      </c>
      <c r="L91" s="2">
        <f>I91/D91</f>
        <v>10512.649138867337</v>
      </c>
    </row>
    <row r="92" spans="1:12" x14ac:dyDescent="0.35">
      <c r="A92" s="4">
        <v>4650476</v>
      </c>
      <c r="B92" t="s">
        <v>26</v>
      </c>
      <c r="C92" s="6">
        <v>45008</v>
      </c>
      <c r="D92" s="4">
        <v>1</v>
      </c>
      <c r="E92">
        <v>55</v>
      </c>
      <c r="F92" s="4">
        <v>3</v>
      </c>
      <c r="G92" s="4" t="s">
        <v>21</v>
      </c>
      <c r="H92" s="4" t="s">
        <v>21</v>
      </c>
      <c r="I92" s="17">
        <f t="shared" si="6"/>
        <v>12179.74837858805</v>
      </c>
      <c r="J92" s="14">
        <f>11550.73+148</f>
        <v>11698.73</v>
      </c>
      <c r="K92" s="19">
        <v>148</v>
      </c>
      <c r="L92" s="2">
        <f>I92/D92</f>
        <v>12179.74837858805</v>
      </c>
    </row>
    <row r="93" spans="1:12" x14ac:dyDescent="0.35">
      <c r="A93" s="4">
        <v>4654904</v>
      </c>
      <c r="B93" t="s">
        <v>29</v>
      </c>
      <c r="C93" s="6">
        <v>45009</v>
      </c>
      <c r="D93" s="4">
        <v>1</v>
      </c>
      <c r="E93">
        <v>55</v>
      </c>
      <c r="F93" s="4">
        <v>3</v>
      </c>
      <c r="G93" s="4" t="s">
        <v>21</v>
      </c>
      <c r="H93" s="4" t="s">
        <v>21</v>
      </c>
      <c r="I93" s="17">
        <f t="shared" si="6"/>
        <v>18481.276477889834</v>
      </c>
      <c r="J93" s="14">
        <f>16614.39+1137</f>
        <v>17751.39</v>
      </c>
      <c r="K93" s="19">
        <v>1137</v>
      </c>
      <c r="L93" s="2">
        <f>I93/D93</f>
        <v>18481.276477889834</v>
      </c>
    </row>
    <row r="94" spans="1:12" x14ac:dyDescent="0.35">
      <c r="A94" s="4">
        <v>4657649</v>
      </c>
      <c r="B94" t="s">
        <v>22</v>
      </c>
      <c r="C94" s="6">
        <v>45009</v>
      </c>
      <c r="D94" s="4">
        <v>1</v>
      </c>
      <c r="E94">
        <v>55</v>
      </c>
      <c r="F94" s="4">
        <v>3</v>
      </c>
      <c r="G94" s="4" t="s">
        <v>21</v>
      </c>
      <c r="H94" s="4" t="s">
        <v>21</v>
      </c>
      <c r="I94" s="17">
        <f t="shared" si="6"/>
        <v>14954.169402637701</v>
      </c>
      <c r="J94" s="14">
        <v>14363.58</v>
      </c>
      <c r="K94" s="19">
        <v>6625.28</v>
      </c>
      <c r="L94" s="2">
        <f>I94/D94</f>
        <v>14954.169402637701</v>
      </c>
    </row>
    <row r="95" spans="1:12" x14ac:dyDescent="0.35">
      <c r="A95" s="4">
        <v>4658405</v>
      </c>
      <c r="B95" t="s">
        <v>26</v>
      </c>
      <c r="C95" s="6">
        <v>45013</v>
      </c>
      <c r="D95" s="4">
        <v>1</v>
      </c>
      <c r="E95">
        <v>45</v>
      </c>
      <c r="F95" s="4">
        <v>3</v>
      </c>
      <c r="G95" s="4" t="s">
        <v>21</v>
      </c>
      <c r="H95" s="4" t="s">
        <v>21</v>
      </c>
      <c r="I95" s="17">
        <f t="shared" si="6"/>
        <v>4545.5174553917759</v>
      </c>
      <c r="J95" s="14">
        <f>4218+148</f>
        <v>4366</v>
      </c>
      <c r="K95" s="19">
        <v>148</v>
      </c>
      <c r="L95" s="2">
        <f>I95/D95</f>
        <v>4545.5174553917759</v>
      </c>
    </row>
    <row r="96" spans="1:12" x14ac:dyDescent="0.35">
      <c r="A96" s="4">
        <v>4666957</v>
      </c>
      <c r="B96" t="s">
        <v>24</v>
      </c>
      <c r="C96" s="6">
        <v>45015</v>
      </c>
      <c r="D96" s="4">
        <v>1</v>
      </c>
      <c r="E96">
        <v>55</v>
      </c>
      <c r="F96" s="4">
        <v>3</v>
      </c>
      <c r="G96" s="4" t="s">
        <v>21</v>
      </c>
      <c r="H96" s="4" t="s">
        <v>21</v>
      </c>
      <c r="I96" s="17">
        <f t="shared" si="6"/>
        <v>6350.481427463149</v>
      </c>
      <c r="J96" s="14">
        <f>5483.68+616</f>
        <v>6099.68</v>
      </c>
      <c r="K96" s="19">
        <v>616</v>
      </c>
      <c r="L96" s="2">
        <f>I96/D96</f>
        <v>6350.481427463149</v>
      </c>
    </row>
    <row r="97" spans="1:12" x14ac:dyDescent="0.35">
      <c r="A97" s="4">
        <v>4650473</v>
      </c>
      <c r="B97" t="s">
        <v>26</v>
      </c>
      <c r="C97" s="6">
        <v>45015</v>
      </c>
      <c r="D97" s="4">
        <v>1</v>
      </c>
      <c r="E97">
        <v>55</v>
      </c>
      <c r="F97" s="4">
        <v>3</v>
      </c>
      <c r="G97" s="4" t="s">
        <v>21</v>
      </c>
      <c r="H97" s="4" t="s">
        <v>20</v>
      </c>
      <c r="I97" s="17">
        <f t="shared" si="6"/>
        <v>9446.0766795965865</v>
      </c>
      <c r="J97" s="14">
        <v>9073.02</v>
      </c>
      <c r="K97" s="19">
        <v>6260.28</v>
      </c>
      <c r="L97" s="2">
        <f>I97/D97</f>
        <v>9446.0766795965865</v>
      </c>
    </row>
    <row r="98" spans="1:12" x14ac:dyDescent="0.35">
      <c r="A98" s="4">
        <v>4671815</v>
      </c>
      <c r="B98" t="s">
        <v>25</v>
      </c>
      <c r="C98" s="6">
        <v>45021</v>
      </c>
      <c r="D98" s="4">
        <v>1</v>
      </c>
      <c r="E98">
        <v>55</v>
      </c>
      <c r="F98" s="4">
        <v>3</v>
      </c>
      <c r="G98" s="4" t="s">
        <v>21</v>
      </c>
      <c r="H98" s="4" t="s">
        <v>21</v>
      </c>
      <c r="I98" s="17">
        <f>J98*134.2/130.4</f>
        <v>1928.1884815950916</v>
      </c>
      <c r="J98" s="14">
        <f>1725.59+148</f>
        <v>1873.59</v>
      </c>
      <c r="K98" s="19">
        <v>148</v>
      </c>
      <c r="L98" s="2">
        <f>I98/D98</f>
        <v>1928.1884815950916</v>
      </c>
    </row>
    <row r="99" spans="1:12" x14ac:dyDescent="0.35">
      <c r="A99" s="4">
        <v>4687003</v>
      </c>
      <c r="B99" t="s">
        <v>30</v>
      </c>
      <c r="C99" s="6">
        <v>45029</v>
      </c>
      <c r="D99" s="4">
        <v>1</v>
      </c>
      <c r="E99">
        <v>55</v>
      </c>
      <c r="F99" s="4">
        <v>3</v>
      </c>
      <c r="G99" s="4" t="s">
        <v>21</v>
      </c>
      <c r="H99" s="4" t="s">
        <v>21</v>
      </c>
      <c r="I99" s="17">
        <f t="shared" ref="I99:I102" si="7">J99*134.2/130.4</f>
        <v>1686.7622699386502</v>
      </c>
      <c r="J99" s="14">
        <f>1476+163</f>
        <v>1639</v>
      </c>
      <c r="K99" s="19">
        <v>163</v>
      </c>
      <c r="L99" s="2">
        <f>I99/D99</f>
        <v>1686.7622699386502</v>
      </c>
    </row>
    <row r="100" spans="1:12" x14ac:dyDescent="0.35">
      <c r="A100" s="4">
        <v>4647950</v>
      </c>
      <c r="B100" t="s">
        <v>26</v>
      </c>
      <c r="C100" s="6">
        <v>45030</v>
      </c>
      <c r="D100" s="4">
        <v>1</v>
      </c>
      <c r="E100">
        <v>55</v>
      </c>
      <c r="F100" s="4">
        <v>3</v>
      </c>
      <c r="G100" s="4" t="s">
        <v>21</v>
      </c>
      <c r="H100" s="4" t="s">
        <v>20</v>
      </c>
      <c r="I100" s="17">
        <f t="shared" si="7"/>
        <v>7753.9504447852751</v>
      </c>
      <c r="J100" s="14">
        <f>7534.39</f>
        <v>7534.39</v>
      </c>
      <c r="K100" s="19">
        <v>2135.25</v>
      </c>
      <c r="L100" s="2">
        <f>I100/D100</f>
        <v>7753.9504447852751</v>
      </c>
    </row>
    <row r="101" spans="1:12" x14ac:dyDescent="0.35">
      <c r="A101" s="4">
        <v>4702315</v>
      </c>
      <c r="B101" t="s">
        <v>27</v>
      </c>
      <c r="C101" s="6">
        <v>45034</v>
      </c>
      <c r="D101" s="4">
        <v>1</v>
      </c>
      <c r="E101">
        <v>14</v>
      </c>
      <c r="F101" s="4">
        <v>3</v>
      </c>
      <c r="G101" s="4" t="s">
        <v>21</v>
      </c>
      <c r="H101" s="4" t="s">
        <v>21</v>
      </c>
      <c r="I101" s="17">
        <f t="shared" si="7"/>
        <v>16928.763972392633</v>
      </c>
      <c r="J101" s="14">
        <v>16449.41</v>
      </c>
      <c r="K101" s="19">
        <v>1756.17</v>
      </c>
      <c r="L101" s="2">
        <f>I101/D101</f>
        <v>16928.763972392633</v>
      </c>
    </row>
    <row r="102" spans="1:12" x14ac:dyDescent="0.35">
      <c r="A102" s="4">
        <v>4623749</v>
      </c>
      <c r="B102" t="s">
        <v>24</v>
      </c>
      <c r="C102" s="6">
        <v>45042</v>
      </c>
      <c r="D102" s="4">
        <v>1</v>
      </c>
      <c r="E102">
        <v>55</v>
      </c>
      <c r="F102" s="4">
        <v>3</v>
      </c>
      <c r="G102" s="4" t="s">
        <v>21</v>
      </c>
      <c r="H102" s="4" t="s">
        <v>21</v>
      </c>
      <c r="I102" s="17">
        <f t="shared" si="7"/>
        <v>5088.1250766871162</v>
      </c>
      <c r="J102" s="14">
        <f>3860.05+1084</f>
        <v>4944.05</v>
      </c>
      <c r="K102" s="19">
        <v>1084</v>
      </c>
      <c r="L102" s="2">
        <f>I102/D102</f>
        <v>5088.1250766871162</v>
      </c>
    </row>
    <row r="103" spans="1:12" s="2" customFormat="1" x14ac:dyDescent="0.35">
      <c r="A103" s="4"/>
      <c r="B103"/>
      <c r="C103" s="4"/>
      <c r="D103" s="4"/>
      <c r="E103"/>
      <c r="F103" s="4"/>
      <c r="G103" s="4"/>
      <c r="H103" s="4"/>
      <c r="I103" s="17"/>
      <c r="J103" s="14"/>
      <c r="K103" s="19"/>
    </row>
  </sheetData>
  <dataValidations count="1">
    <dataValidation type="list" allowBlank="1" showInputMessage="1" showErrorMessage="1" sqref="G2:H3" xr:uid="{8A5F67B3-7968-4979-8EBC-5785A30FC2BB}">
      <formula1>"Yes, No"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CBFED6C0581F4AA4AEC99E35F7221E" ma:contentTypeVersion="12" ma:contentTypeDescription="Create a new document." ma:contentTypeScope="" ma:versionID="ee778797bb89f66bca07e877a2bf5c0d">
  <xsd:schema xmlns:xsd="http://www.w3.org/2001/XMLSchema" xmlns:xs="http://www.w3.org/2001/XMLSchema" xmlns:p="http://schemas.microsoft.com/office/2006/metadata/properties" xmlns:ns2="8a5e6e1d-a42f-48b7-9ecc-1375ca40894b" xmlns:ns3="23067a8f-214c-4d87-b296-b18fa69fd2a4" targetNamespace="http://schemas.microsoft.com/office/2006/metadata/properties" ma:root="true" ma:fieldsID="d0a9b5ce4b1ea173a06d7384d4238c02" ns2:_="" ns3:_="">
    <xsd:import namespace="8a5e6e1d-a42f-48b7-9ecc-1375ca40894b"/>
    <xsd:import namespace="23067a8f-214c-4d87-b296-b18fa69fd2a4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e6e1d-a42f-48b7-9ecc-1375ca40894b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f571c05a-9bf0-4b0b-ad97-e13aed49b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67a8f-214c-4d87-b296-b18fa69fd2a4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c60b2e1c-a172-4f12-a8bb-f025414c8d62}" ma:internalName="TaxCatchAll" ma:showField="CatchAllData" ma:web="23067a8f-214c-4d87-b296-b18fa69fd2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5e6e1d-a42f-48b7-9ecc-1375ca40894b">
      <Terms xmlns="http://schemas.microsoft.com/office/infopath/2007/PartnerControls"/>
    </lcf76f155ced4ddcb4097134ff3c332f>
    <TaxCatchAll xmlns="23067a8f-214c-4d87-b296-b18fa69fd2a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BF11F9-86E9-411C-8D79-89993AC89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5e6e1d-a42f-48b7-9ecc-1375ca40894b"/>
    <ds:schemaRef ds:uri="23067a8f-214c-4d87-b296-b18fa69fd2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A28657-108A-4069-9A51-91F0AE5B42D1}">
  <ds:schemaRefs>
    <ds:schemaRef ds:uri="http://purl.org/dc/terms/"/>
    <ds:schemaRef ds:uri="http://schemas.microsoft.com/office/infopath/2007/PartnerControls"/>
    <ds:schemaRef ds:uri="http://purl.org/dc/dcmitype/"/>
    <ds:schemaRef ds:uri="23067a8f-214c-4d87-b296-b18fa69fd2a4"/>
    <ds:schemaRef ds:uri="http://schemas.microsoft.com/office/2006/documentManagement/types"/>
    <ds:schemaRef ds:uri="http://schemas.microsoft.com/office/2006/metadata/properties"/>
    <ds:schemaRef ds:uri="8a5e6e1d-a42f-48b7-9ecc-1375ca40894b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A4DE568-41D7-4BEA-A0F1-AE5C6F025D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Caveats</vt:lpstr>
      <vt:lpstr>The Data (Coventry, NGED dig)</vt:lpstr>
      <vt:lpstr>The Data (Coventry, excl. dig)</vt:lpstr>
      <vt:lpstr>The Data (Wales, NGED dig)</vt:lpstr>
    </vt:vector>
  </TitlesOfParts>
  <Manager/>
  <Company>National Grid Electricity Distribution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Jones, Morgan N.</dc:creator>
  <cp:keywords/>
  <dc:description/>
  <cp:lastModifiedBy>Ben Cattermole</cp:lastModifiedBy>
  <cp:revision/>
  <dcterms:created xsi:type="dcterms:W3CDTF">2024-10-22T15:04:17Z</dcterms:created>
  <dcterms:modified xsi:type="dcterms:W3CDTF">2024-12-19T16:55:37Z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0x01010014CBFED6C0581F4AA4AEC99E35F7221E</vt:lpwstr>
  </property>
</Properties>
</file>